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3.xml" ContentType="application/vnd.openxmlformats-officedocument.spreadsheetml.comments+xml"/>
  <Override PartName="/xl/threadedComments/threadedComment3.xml" ContentType="application/vnd.ms-excel.threadedcomments+xml"/>
  <Override PartName="/xl/drawings/drawing3.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Utente\Desktop\Tesi modifica auto\"/>
    </mc:Choice>
  </mc:AlternateContent>
  <xr:revisionPtr revIDLastSave="0" documentId="13_ncr:1_{E6C61FA0-9E1C-4EA9-82FB-9E8CF09C16AE}" xr6:coauthVersionLast="47" xr6:coauthVersionMax="47" xr10:uidLastSave="{00000000-0000-0000-0000-000000000000}"/>
  <bookViews>
    <workbookView xWindow="-96" yWindow="-96" windowWidth="23232" windowHeight="12552" tabRatio="806" firstSheet="4" activeTab="5" xr2:uid="{D93B7878-BA84-4CBF-9157-13D8BF567B29}"/>
  </bookViews>
  <sheets>
    <sheet name="output H2" sheetId="1" state="hidden" r:id="rId1"/>
    <sheet name="caratteristiche cella " sheetId="2" state="hidden" r:id="rId2"/>
    <sheet name="costo idrogeno in 30 anni" sheetId="5" state="hidden" r:id="rId3"/>
    <sheet name="produzione di energia" sheetId="3" state="hidden" r:id="rId4"/>
    <sheet name="output H2 PROVA" sheetId="8" r:id="rId5"/>
    <sheet name="polarization curve" sheetId="10" r:id="rId6"/>
    <sheet name="costo electrolyser" sheetId="4" r:id="rId7"/>
    <sheet name="costo idrogeno in 20 anni  (2)" sheetId="14" r:id="rId8"/>
  </sheets>
  <calcPr calcId="191028" concurrentManualCount="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0" l="1"/>
  <c r="D3" i="10" l="1"/>
  <c r="G47" i="10"/>
  <c r="G48" i="10"/>
  <c r="G49" i="10"/>
  <c r="G50" i="10"/>
  <c r="G51" i="10"/>
  <c r="G52" i="10"/>
  <c r="G53" i="10"/>
  <c r="G54" i="10"/>
  <c r="G55" i="10"/>
  <c r="G56" i="10"/>
  <c r="G57" i="10"/>
  <c r="G58" i="10"/>
  <c r="G59" i="10"/>
  <c r="G60" i="10"/>
  <c r="G61" i="10"/>
  <c r="G62" i="10"/>
  <c r="G63" i="10"/>
  <c r="G64" i="10"/>
  <c r="G65" i="10"/>
  <c r="H65" i="10" s="1"/>
  <c r="G66" i="10"/>
  <c r="G67" i="10"/>
  <c r="G68" i="10"/>
  <c r="G69" i="10"/>
  <c r="G70" i="10"/>
  <c r="G71" i="10"/>
  <c r="G72" i="10"/>
  <c r="G46" i="10"/>
  <c r="F47" i="10"/>
  <c r="F48" i="10"/>
  <c r="F49" i="10"/>
  <c r="F50" i="10"/>
  <c r="F51" i="10"/>
  <c r="H51" i="10" s="1"/>
  <c r="F52" i="10"/>
  <c r="F53" i="10"/>
  <c r="F54" i="10"/>
  <c r="F55" i="10"/>
  <c r="H55" i="10" s="1"/>
  <c r="F56" i="10"/>
  <c r="F57" i="10"/>
  <c r="F58" i="10"/>
  <c r="F59" i="10"/>
  <c r="H59" i="10" s="1"/>
  <c r="F60" i="10"/>
  <c r="F61" i="10"/>
  <c r="F62" i="10"/>
  <c r="F63" i="10"/>
  <c r="H63" i="10" s="1"/>
  <c r="F64" i="10"/>
  <c r="F65" i="10"/>
  <c r="F66" i="10"/>
  <c r="F67" i="10"/>
  <c r="H67" i="10" s="1"/>
  <c r="F68" i="10"/>
  <c r="F69" i="10"/>
  <c r="F70" i="10"/>
  <c r="F71" i="10"/>
  <c r="F72" i="10"/>
  <c r="F46" i="10"/>
  <c r="H70" i="10"/>
  <c r="H69" i="10"/>
  <c r="H61" i="10"/>
  <c r="H57" i="10"/>
  <c r="H53" i="10"/>
  <c r="H49" i="10"/>
  <c r="H47" i="10"/>
  <c r="H46" i="10"/>
  <c r="K18" i="8"/>
  <c r="B40" i="14"/>
  <c r="V43" i="8"/>
  <c r="V44" i="8"/>
  <c r="V45" i="8"/>
  <c r="V41" i="8"/>
  <c r="V39" i="8"/>
  <c r="H66" i="10" l="1"/>
  <c r="H62" i="10"/>
  <c r="H58" i="10"/>
  <c r="H54" i="10"/>
  <c r="H50" i="10"/>
  <c r="H64" i="10"/>
  <c r="H60" i="10"/>
  <c r="H56" i="10"/>
  <c r="H52" i="10"/>
  <c r="H48" i="10"/>
  <c r="H71" i="10"/>
  <c r="H72" i="10"/>
  <c r="H68" i="10"/>
  <c r="F3" i="10"/>
  <c r="I46" i="10" s="1"/>
  <c r="B14" i="8"/>
  <c r="S29" i="8"/>
  <c r="S28" i="8"/>
  <c r="S27" i="8"/>
  <c r="S25" i="8"/>
  <c r="S24" i="8"/>
  <c r="S23" i="8"/>
  <c r="O39" i="8"/>
  <c r="O30" i="8"/>
  <c r="O27" i="8"/>
  <c r="O26" i="8"/>
  <c r="O24" i="8"/>
  <c r="H28" i="8"/>
  <c r="H27" i="8"/>
  <c r="H26" i="8"/>
  <c r="H25" i="8"/>
  <c r="H24" i="8"/>
  <c r="H23" i="8"/>
  <c r="E28" i="8"/>
  <c r="E27" i="8"/>
  <c r="E26" i="8"/>
  <c r="E25" i="8"/>
  <c r="E24" i="8"/>
  <c r="E23" i="8"/>
  <c r="H4" i="8" l="1"/>
  <c r="B8" i="8"/>
  <c r="B4" i="8"/>
  <c r="B18" i="8"/>
  <c r="B37" i="10"/>
  <c r="C17" i="10"/>
  <c r="C18" i="10"/>
  <c r="Y18" i="10"/>
  <c r="C19" i="10"/>
  <c r="C20" i="10"/>
  <c r="C21" i="10"/>
  <c r="C22" i="10"/>
  <c r="C23" i="10"/>
  <c r="Y23" i="10"/>
  <c r="C24" i="10"/>
  <c r="Y24" i="10" s="1"/>
  <c r="C25" i="10"/>
  <c r="Y25" i="10"/>
  <c r="C26" i="10"/>
  <c r="Y26" i="10"/>
  <c r="C27" i="10"/>
  <c r="C28" i="10"/>
  <c r="C29" i="10"/>
  <c r="Y17" i="10" l="1"/>
  <c r="Y27" i="10"/>
  <c r="Y19" i="10"/>
  <c r="Y28" i="10"/>
  <c r="Y20" i="10"/>
  <c r="Y29" i="10"/>
  <c r="Y21" i="10"/>
  <c r="Y22" i="10"/>
  <c r="E4" i="8" l="1"/>
  <c r="E8" i="8"/>
  <c r="H5" i="8"/>
  <c r="C16" i="10"/>
  <c r="Y16" i="10" s="1"/>
  <c r="C15" i="10"/>
  <c r="Y15" i="10" s="1"/>
  <c r="C14" i="10"/>
  <c r="Y14" i="10" s="1"/>
  <c r="C13" i="10"/>
  <c r="Y13" i="10" s="1"/>
  <c r="C12" i="10"/>
  <c r="Y12" i="10" s="1"/>
  <c r="C11" i="10"/>
  <c r="Y11" i="10" s="1"/>
  <c r="C10" i="10"/>
  <c r="M10" i="10" s="1"/>
  <c r="C9" i="10"/>
  <c r="Y9" i="10" s="1"/>
  <c r="C8" i="10"/>
  <c r="Y8" i="10" s="1"/>
  <c r="C7" i="10"/>
  <c r="Y7" i="10" s="1"/>
  <c r="C6" i="10"/>
  <c r="Y6" i="10" s="1"/>
  <c r="C5" i="10"/>
  <c r="Y5" i="10" s="1"/>
  <c r="C4" i="10"/>
  <c r="Y4" i="10" s="1"/>
  <c r="I3" i="10"/>
  <c r="C3" i="10"/>
  <c r="E5" i="8"/>
  <c r="E3" i="8"/>
  <c r="H8" i="8"/>
  <c r="B3" i="4"/>
  <c r="L18" i="10" l="1"/>
  <c r="N24" i="10"/>
  <c r="M23" i="10"/>
  <c r="L24" i="10"/>
  <c r="O26" i="10"/>
  <c r="L26" i="10"/>
  <c r="O18" i="10"/>
  <c r="L23" i="10"/>
  <c r="O24" i="10"/>
  <c r="O25" i="10"/>
  <c r="M22" i="10"/>
  <c r="N23" i="10"/>
  <c r="M24" i="10"/>
  <c r="L29" i="10"/>
  <c r="N25" i="10"/>
  <c r="M26" i="10"/>
  <c r="L28" i="10"/>
  <c r="M18" i="10"/>
  <c r="N22" i="10"/>
  <c r="N18" i="10"/>
  <c r="L17" i="10"/>
  <c r="O17" i="10"/>
  <c r="O28" i="10"/>
  <c r="N28" i="10"/>
  <c r="N20" i="10"/>
  <c r="M28" i="10"/>
  <c r="M20" i="10"/>
  <c r="M17" i="10"/>
  <c r="M19" i="10"/>
  <c r="O22" i="10"/>
  <c r="L27" i="10"/>
  <c r="L20" i="10"/>
  <c r="N27" i="10"/>
  <c r="O29" i="10"/>
  <c r="O21" i="10"/>
  <c r="O20" i="10"/>
  <c r="N29" i="10"/>
  <c r="N21" i="10"/>
  <c r="N26" i="10"/>
  <c r="M21" i="10"/>
  <c r="O23" i="10"/>
  <c r="M25" i="10"/>
  <c r="O27" i="10"/>
  <c r="N19" i="10"/>
  <c r="M27" i="10"/>
  <c r="N17" i="10"/>
  <c r="L25" i="10"/>
  <c r="O19" i="10"/>
  <c r="L19" i="10"/>
  <c r="M29" i="10"/>
  <c r="L22" i="10"/>
  <c r="L21" i="10"/>
  <c r="Y10" i="10"/>
  <c r="Y3" i="10"/>
  <c r="M3" i="10"/>
  <c r="F4" i="10"/>
  <c r="I47" i="10" s="1"/>
  <c r="F5" i="10"/>
  <c r="I48" i="10" s="1"/>
  <c r="F29" i="10"/>
  <c r="I72" i="10" s="1"/>
  <c r="F23" i="10"/>
  <c r="I66" i="10" s="1"/>
  <c r="F6" i="10"/>
  <c r="I49" i="10" s="1"/>
  <c r="F14" i="10"/>
  <c r="I57" i="10" s="1"/>
  <c r="F22" i="10"/>
  <c r="I65" i="10" s="1"/>
  <c r="F7" i="10"/>
  <c r="I50" i="10" s="1"/>
  <c r="F8" i="10"/>
  <c r="I51" i="10" s="1"/>
  <c r="F16" i="10"/>
  <c r="I59" i="10" s="1"/>
  <c r="F24" i="10"/>
  <c r="I67" i="10" s="1"/>
  <c r="F18" i="10"/>
  <c r="I61" i="10" s="1"/>
  <c r="F19" i="10"/>
  <c r="I62" i="10" s="1"/>
  <c r="F12" i="10"/>
  <c r="I55" i="10" s="1"/>
  <c r="F28" i="10"/>
  <c r="I71" i="10" s="1"/>
  <c r="F13" i="10"/>
  <c r="I56" i="10" s="1"/>
  <c r="F9" i="10"/>
  <c r="I52" i="10" s="1"/>
  <c r="F17" i="10"/>
  <c r="I60" i="10" s="1"/>
  <c r="F25" i="10"/>
  <c r="I68" i="10" s="1"/>
  <c r="F10" i="10"/>
  <c r="I53" i="10" s="1"/>
  <c r="F26" i="10"/>
  <c r="I69" i="10" s="1"/>
  <c r="F11" i="10"/>
  <c r="I54" i="10" s="1"/>
  <c r="F27" i="10"/>
  <c r="I70" i="10" s="1"/>
  <c r="F20" i="10"/>
  <c r="I63" i="10" s="1"/>
  <c r="F21" i="10"/>
  <c r="I64" i="10" s="1"/>
  <c r="F15" i="10"/>
  <c r="I58" i="10" s="1"/>
  <c r="N3" i="10"/>
  <c r="O3" i="10"/>
  <c r="O13" i="10"/>
  <c r="N12" i="10"/>
  <c r="M11" i="10"/>
  <c r="L10" i="10"/>
  <c r="O5" i="10"/>
  <c r="N4" i="10"/>
  <c r="O14" i="10"/>
  <c r="N13" i="10"/>
  <c r="M12" i="10"/>
  <c r="M4" i="10"/>
  <c r="L3" i="10"/>
  <c r="L11" i="10"/>
  <c r="O6" i="10"/>
  <c r="N5" i="10"/>
  <c r="O15" i="10"/>
  <c r="N14" i="10"/>
  <c r="M13" i="10"/>
  <c r="L12" i="10"/>
  <c r="O7" i="10"/>
  <c r="N6" i="10"/>
  <c r="M5" i="10"/>
  <c r="L4" i="10"/>
  <c r="J3" i="10"/>
  <c r="O16" i="10"/>
  <c r="N15" i="10"/>
  <c r="M14" i="10"/>
  <c r="L13" i="10"/>
  <c r="O8" i="10"/>
  <c r="M16" i="10"/>
  <c r="L15" i="10"/>
  <c r="O10" i="10"/>
  <c r="N9" i="10"/>
  <c r="M8" i="10"/>
  <c r="L7" i="10"/>
  <c r="L16" i="10"/>
  <c r="O11" i="10"/>
  <c r="N10" i="10"/>
  <c r="M9" i="10"/>
  <c r="L8" i="10"/>
  <c r="N8" i="10"/>
  <c r="N11" i="10"/>
  <c r="N16" i="10"/>
  <c r="N7" i="10"/>
  <c r="M15" i="10"/>
  <c r="L6" i="10"/>
  <c r="L5" i="10"/>
  <c r="M6" i="10"/>
  <c r="L9" i="10"/>
  <c r="O12" i="10"/>
  <c r="O9" i="10"/>
  <c r="M7" i="10"/>
  <c r="O4" i="10"/>
  <c r="L14" i="10"/>
  <c r="S3" i="10" l="1"/>
  <c r="S17" i="10"/>
  <c r="T18" i="10"/>
  <c r="R19" i="10"/>
  <c r="U20" i="10"/>
  <c r="T21" i="10"/>
  <c r="R22" i="10"/>
  <c r="R23" i="10"/>
  <c r="T24" i="10"/>
  <c r="S29" i="10"/>
  <c r="U17" i="10"/>
  <c r="R18" i="10"/>
  <c r="T19" i="10"/>
  <c r="S20" i="10"/>
  <c r="R21" i="10"/>
  <c r="T22" i="10"/>
  <c r="T23" i="10"/>
  <c r="R24" i="10"/>
  <c r="R25" i="10"/>
  <c r="U26" i="10"/>
  <c r="S27" i="10"/>
  <c r="R28" i="10"/>
  <c r="T29" i="10"/>
  <c r="T28" i="10"/>
  <c r="T17" i="10"/>
  <c r="U18" i="10"/>
  <c r="S19" i="10"/>
  <c r="R20" i="10"/>
  <c r="U21" i="10"/>
  <c r="S23" i="10"/>
  <c r="U25" i="10"/>
  <c r="R27" i="10"/>
  <c r="U28" i="10"/>
  <c r="R17" i="10"/>
  <c r="S18" i="10"/>
  <c r="U19" i="10"/>
  <c r="T20" i="10"/>
  <c r="S21" i="10"/>
  <c r="U22" i="10"/>
  <c r="U23" i="10"/>
  <c r="S24" i="10"/>
  <c r="S25" i="10"/>
  <c r="R26" i="10"/>
  <c r="T27" i="10"/>
  <c r="S28" i="10"/>
  <c r="U29" i="10"/>
  <c r="T25" i="10"/>
  <c r="S26" i="10"/>
  <c r="U27" i="10"/>
  <c r="R29" i="10"/>
  <c r="S22" i="10"/>
  <c r="U24" i="10"/>
  <c r="T26" i="10"/>
  <c r="R12" i="10"/>
  <c r="R4" i="10"/>
  <c r="T16" i="10"/>
  <c r="S15" i="10"/>
  <c r="R14" i="10"/>
  <c r="U9" i="10"/>
  <c r="T8" i="10"/>
  <c r="S7" i="10"/>
  <c r="R6" i="10"/>
  <c r="S16" i="10"/>
  <c r="R15" i="10"/>
  <c r="U10" i="10"/>
  <c r="T9" i="10"/>
  <c r="S8" i="10"/>
  <c r="R7" i="10"/>
  <c r="R16" i="10"/>
  <c r="U11" i="10"/>
  <c r="T10" i="10"/>
  <c r="S9" i="10"/>
  <c r="R8" i="10"/>
  <c r="U3" i="10"/>
  <c r="U12" i="10"/>
  <c r="T11" i="10"/>
  <c r="S10" i="10"/>
  <c r="R9" i="10"/>
  <c r="U14" i="10"/>
  <c r="T13" i="10"/>
  <c r="S12" i="10"/>
  <c r="R11" i="10"/>
  <c r="U6" i="10"/>
  <c r="T5" i="10"/>
  <c r="S4" i="10"/>
  <c r="R3" i="10"/>
  <c r="U15" i="10"/>
  <c r="T14" i="10"/>
  <c r="S13" i="10"/>
  <c r="U7" i="10"/>
  <c r="T6" i="10"/>
  <c r="S5" i="10"/>
  <c r="U5" i="10"/>
  <c r="T12" i="10"/>
  <c r="S6" i="10"/>
  <c r="R5" i="10"/>
  <c r="T15" i="10"/>
  <c r="T7" i="10"/>
  <c r="U13" i="10"/>
  <c r="R10" i="10"/>
  <c r="T3" i="10"/>
  <c r="R13" i="10"/>
  <c r="S14" i="10"/>
  <c r="T4" i="10"/>
  <c r="U16" i="10"/>
  <c r="S11" i="10"/>
  <c r="U8" i="10"/>
  <c r="U4" i="10"/>
  <c r="K17" i="8" l="1"/>
  <c r="E2" i="8"/>
  <c r="E9" i="8" s="1"/>
  <c r="H29" i="8" s="1"/>
  <c r="B2" i="8"/>
  <c r="S6" i="3"/>
  <c r="P9" i="3"/>
  <c r="S9" i="3" s="1"/>
  <c r="P4" i="3"/>
  <c r="P5" i="3"/>
  <c r="P6" i="3"/>
  <c r="P7" i="3"/>
  <c r="P8" i="3"/>
  <c r="P3" i="3"/>
  <c r="S3" i="3" s="1"/>
  <c r="N9" i="3"/>
  <c r="M9" i="3"/>
  <c r="S8" i="3"/>
  <c r="N8" i="3"/>
  <c r="M8" i="3"/>
  <c r="M3" i="3"/>
  <c r="E4" i="2"/>
  <c r="E5" i="2"/>
  <c r="E6" i="2"/>
  <c r="E7" i="2"/>
  <c r="E8" i="2"/>
  <c r="E9" i="2"/>
  <c r="E10" i="2"/>
  <c r="E11" i="2"/>
  <c r="E12" i="2"/>
  <c r="E13" i="2"/>
  <c r="E14" i="2"/>
  <c r="E15" i="2"/>
  <c r="E16" i="2"/>
  <c r="E17" i="2"/>
  <c r="E18" i="2"/>
  <c r="E19" i="2"/>
  <c r="E20" i="2"/>
  <c r="E21" i="2"/>
  <c r="E22" i="2"/>
  <c r="E3" i="2"/>
  <c r="B9" i="8" l="1"/>
  <c r="W3" i="2"/>
  <c r="D3" i="2"/>
  <c r="D4" i="2"/>
  <c r="D5" i="2"/>
  <c r="D6" i="2"/>
  <c r="D7" i="2"/>
  <c r="D8" i="2"/>
  <c r="D9" i="2"/>
  <c r="D10" i="2"/>
  <c r="D11" i="2"/>
  <c r="D12" i="2"/>
  <c r="D13" i="2"/>
  <c r="D14" i="2"/>
  <c r="D15" i="2"/>
  <c r="D16" i="2"/>
  <c r="D17" i="2"/>
  <c r="D18" i="2"/>
  <c r="D19" i="2"/>
  <c r="D20" i="2"/>
  <c r="D21" i="2"/>
  <c r="D22" i="2"/>
  <c r="B28" i="2"/>
  <c r="J4" i="2"/>
  <c r="J3" i="2"/>
  <c r="K18" i="1"/>
  <c r="K17" i="1"/>
  <c r="K13" i="1"/>
  <c r="B9" i="3"/>
  <c r="B15" i="5"/>
  <c r="B16" i="5" s="1"/>
  <c r="B18" i="1"/>
  <c r="B16" i="1"/>
  <c r="B17" i="1"/>
  <c r="D13" i="1"/>
  <c r="B14" i="1"/>
  <c r="M32" i="5"/>
  <c r="M17" i="5"/>
  <c r="M18" i="5"/>
  <c r="M19" i="5"/>
  <c r="M20" i="5"/>
  <c r="M21" i="5"/>
  <c r="M22" i="5"/>
  <c r="M23" i="5"/>
  <c r="M24" i="5"/>
  <c r="M25" i="5"/>
  <c r="M26" i="5"/>
  <c r="M27" i="5"/>
  <c r="M28" i="5"/>
  <c r="M29" i="5"/>
  <c r="M30" i="5"/>
  <c r="M31" i="5"/>
  <c r="M3" i="5"/>
  <c r="M4" i="5"/>
  <c r="M5" i="5"/>
  <c r="M6" i="5"/>
  <c r="M7" i="5"/>
  <c r="M8" i="5"/>
  <c r="M9" i="5"/>
  <c r="M10" i="5"/>
  <c r="M11" i="5"/>
  <c r="M12" i="5"/>
  <c r="M13" i="5"/>
  <c r="M14" i="5"/>
  <c r="M15" i="5"/>
  <c r="M16" i="5"/>
  <c r="M2" i="5"/>
  <c r="O2" i="5" s="1"/>
  <c r="L23" i="5"/>
  <c r="L12" i="5"/>
  <c r="K3" i="8" l="1"/>
  <c r="W21" i="10" s="1"/>
  <c r="K4" i="8"/>
  <c r="E29" i="8"/>
  <c r="O3" i="5"/>
  <c r="O4" i="5" s="1"/>
  <c r="O5" i="5" s="1"/>
  <c r="O6" i="5" s="1"/>
  <c r="O7" i="5" s="1"/>
  <c r="O8" i="5" s="1"/>
  <c r="O9" i="5" s="1"/>
  <c r="O10" i="5" s="1"/>
  <c r="O11" i="5" s="1"/>
  <c r="O12" i="5" s="1"/>
  <c r="O13" i="5" s="1"/>
  <c r="O14" i="5" s="1"/>
  <c r="O15" i="5" s="1"/>
  <c r="O16" i="5" s="1"/>
  <c r="O17" i="5" s="1"/>
  <c r="O18" i="5" s="1"/>
  <c r="O19" i="5" s="1"/>
  <c r="O20" i="5" s="1"/>
  <c r="O21" i="5" s="1"/>
  <c r="O22" i="5" s="1"/>
  <c r="O23" i="5" s="1"/>
  <c r="O24" i="5" s="1"/>
  <c r="O25" i="5" s="1"/>
  <c r="O26" i="5" s="1"/>
  <c r="O27" i="5" s="1"/>
  <c r="O28" i="5" s="1"/>
  <c r="O29" i="5" s="1"/>
  <c r="O30" i="5" s="1"/>
  <c r="O31" i="5" s="1"/>
  <c r="O32" i="5" s="1"/>
  <c r="W20" i="10" l="1"/>
  <c r="W9" i="10"/>
  <c r="W29" i="10"/>
  <c r="W6" i="10"/>
  <c r="W25" i="10"/>
  <c r="W13" i="10"/>
  <c r="W27" i="10"/>
  <c r="W15" i="10"/>
  <c r="W4" i="10"/>
  <c r="W18" i="10"/>
  <c r="W7" i="10"/>
  <c r="W11" i="10"/>
  <c r="F34" i="8"/>
  <c r="F42" i="8" s="1"/>
  <c r="W17" i="10"/>
  <c r="AB17" i="10" s="1"/>
  <c r="AC20" i="10" s="1"/>
  <c r="V34" i="10"/>
  <c r="W16" i="10"/>
  <c r="W3" i="10"/>
  <c r="W5" i="10"/>
  <c r="W10" i="10"/>
  <c r="W19" i="10"/>
  <c r="W24" i="10"/>
  <c r="W23" i="10"/>
  <c r="W8" i="10"/>
  <c r="W14" i="10"/>
  <c r="W12" i="10"/>
  <c r="W28" i="10"/>
  <c r="AA28" i="10" s="1"/>
  <c r="W26" i="10"/>
  <c r="Z26" i="10" s="1"/>
  <c r="W22" i="10"/>
  <c r="X29" i="10"/>
  <c r="AA29" i="10"/>
  <c r="Z29" i="10"/>
  <c r="AA26" i="10"/>
  <c r="X26" i="10"/>
  <c r="Z18" i="10"/>
  <c r="AA18" i="10"/>
  <c r="X18" i="10"/>
  <c r="AA24" i="10"/>
  <c r="X24" i="10"/>
  <c r="Z24" i="10"/>
  <c r="Z28" i="10"/>
  <c r="X28" i="10"/>
  <c r="AA20" i="10"/>
  <c r="Z20" i="10"/>
  <c r="X20" i="10"/>
  <c r="AA22" i="10"/>
  <c r="X22" i="10"/>
  <c r="Z22" i="10"/>
  <c r="AA19" i="10"/>
  <c r="Z19" i="10"/>
  <c r="X19" i="10"/>
  <c r="X21" i="10"/>
  <c r="AA21" i="10"/>
  <c r="Z21" i="10"/>
  <c r="AA27" i="10"/>
  <c r="Z27" i="10"/>
  <c r="X27" i="10"/>
  <c r="X25" i="10"/>
  <c r="Z25" i="10"/>
  <c r="AA25" i="10"/>
  <c r="AA23" i="10"/>
  <c r="Z23" i="10"/>
  <c r="X23" i="10"/>
  <c r="G14" i="8"/>
  <c r="F43" i="8" s="1"/>
  <c r="C5" i="4"/>
  <c r="AA6" i="10"/>
  <c r="X6" i="10"/>
  <c r="Z6" i="10"/>
  <c r="X5" i="10"/>
  <c r="AA5" i="10"/>
  <c r="Z5" i="10"/>
  <c r="X15" i="10"/>
  <c r="Z15" i="10"/>
  <c r="AA15" i="10"/>
  <c r="X8" i="10"/>
  <c r="Z8" i="10"/>
  <c r="AA8" i="10"/>
  <c r="Z7" i="10"/>
  <c r="AA7" i="10"/>
  <c r="X7" i="10"/>
  <c r="X4" i="10"/>
  <c r="AA4" i="10"/>
  <c r="Z4" i="10"/>
  <c r="X12" i="10"/>
  <c r="AA12" i="10"/>
  <c r="Z12" i="10"/>
  <c r="AA16" i="10"/>
  <c r="X16" i="10"/>
  <c r="Z16" i="10"/>
  <c r="X10" i="10"/>
  <c r="AA10" i="10"/>
  <c r="Z10" i="10"/>
  <c r="AA13" i="10"/>
  <c r="Z13" i="10"/>
  <c r="X13" i="10"/>
  <c r="AA11" i="10"/>
  <c r="X11" i="10"/>
  <c r="Z11" i="10"/>
  <c r="Z3" i="10"/>
  <c r="AA3" i="10"/>
  <c r="X3" i="10"/>
  <c r="AA14" i="10"/>
  <c r="X14" i="10"/>
  <c r="Z14" i="10"/>
  <c r="AA9" i="10"/>
  <c r="X9" i="10"/>
  <c r="Z9" i="10"/>
  <c r="B12" i="5"/>
  <c r="B4" i="5"/>
  <c r="K32" i="5" s="1"/>
  <c r="B3" i="5"/>
  <c r="B2" i="5"/>
  <c r="D13" i="3"/>
  <c r="B13" i="3"/>
  <c r="D4" i="3"/>
  <c r="B6" i="3"/>
  <c r="D3" i="3" s="1"/>
  <c r="D6" i="3" s="1"/>
  <c r="AA17" i="10" l="1"/>
  <c r="Z17" i="10"/>
  <c r="B5" i="4"/>
  <c r="X17" i="10"/>
  <c r="B5" i="14" s="1"/>
  <c r="B9" i="4"/>
  <c r="B29" i="14"/>
  <c r="B44" i="14" s="1"/>
  <c r="B32" i="14"/>
  <c r="B28" i="14"/>
  <c r="N14" i="14"/>
  <c r="N7" i="14"/>
  <c r="N19" i="14"/>
  <c r="N13" i="14"/>
  <c r="N12" i="14"/>
  <c r="N6" i="14"/>
  <c r="N18" i="14"/>
  <c r="N5" i="14"/>
  <c r="N17" i="14"/>
  <c r="N11" i="14"/>
  <c r="N4" i="14"/>
  <c r="N22" i="14"/>
  <c r="N16" i="14"/>
  <c r="N10" i="14"/>
  <c r="N3" i="14"/>
  <c r="N21" i="14"/>
  <c r="N15" i="14"/>
  <c r="N9" i="14"/>
  <c r="N2" i="14"/>
  <c r="N20" i="14"/>
  <c r="N8" i="14"/>
  <c r="O36" i="8"/>
  <c r="R12" i="8"/>
  <c r="R13" i="8" s="1"/>
  <c r="R14" i="8" s="1"/>
  <c r="D15" i="8"/>
  <c r="B13" i="8" s="1"/>
  <c r="N12" i="8"/>
  <c r="N13" i="8" s="1"/>
  <c r="K13" i="8"/>
  <c r="J6" i="5"/>
  <c r="J14" i="5"/>
  <c r="J22" i="5"/>
  <c r="J30" i="5"/>
  <c r="J7" i="5"/>
  <c r="J15" i="5"/>
  <c r="J23" i="5"/>
  <c r="J31" i="5"/>
  <c r="J32" i="5"/>
  <c r="J9" i="5"/>
  <c r="J2" i="5"/>
  <c r="J26" i="5"/>
  <c r="J4" i="5"/>
  <c r="J13" i="5"/>
  <c r="J28" i="5"/>
  <c r="J8" i="5"/>
  <c r="J16" i="5"/>
  <c r="J24" i="5"/>
  <c r="J17" i="5"/>
  <c r="J12" i="5"/>
  <c r="J5" i="5"/>
  <c r="J25" i="5"/>
  <c r="J10" i="5"/>
  <c r="J20" i="5"/>
  <c r="J29" i="5"/>
  <c r="J18" i="5"/>
  <c r="J3" i="5"/>
  <c r="J11" i="5"/>
  <c r="J19" i="5"/>
  <c r="J27" i="5"/>
  <c r="J21" i="5"/>
  <c r="J3" i="3"/>
  <c r="G8" i="3"/>
  <c r="B8" i="3"/>
  <c r="J3" i="1"/>
  <c r="G3" i="2"/>
  <c r="M5" i="2" s="1"/>
  <c r="C4" i="2"/>
  <c r="C5" i="2"/>
  <c r="C6" i="2"/>
  <c r="C7" i="2"/>
  <c r="C8" i="2"/>
  <c r="C9" i="2"/>
  <c r="C10" i="2"/>
  <c r="C11" i="2"/>
  <c r="C12" i="2"/>
  <c r="C13" i="2"/>
  <c r="C14" i="2"/>
  <c r="C15" i="2"/>
  <c r="C16" i="2"/>
  <c r="C17" i="2"/>
  <c r="C18" i="2"/>
  <c r="C19" i="2"/>
  <c r="C20" i="2"/>
  <c r="C21" i="2"/>
  <c r="C22" i="2"/>
  <c r="C3" i="2"/>
  <c r="B9" i="1"/>
  <c r="E9" i="1"/>
  <c r="E8" i="1"/>
  <c r="B8" i="1"/>
  <c r="E5" i="1"/>
  <c r="E2" i="1"/>
  <c r="B4" i="1"/>
  <c r="B2" i="1"/>
  <c r="P2" i="14" l="1"/>
  <c r="Y14" i="14" s="1"/>
  <c r="C5" i="14"/>
  <c r="B33" i="14"/>
  <c r="B12" i="14"/>
  <c r="B38" i="14" s="1"/>
  <c r="B31" i="14"/>
  <c r="B46" i="14" s="1"/>
  <c r="B43" i="14"/>
  <c r="Y6" i="14"/>
  <c r="Y10" i="14"/>
  <c r="Y22" i="14"/>
  <c r="Y7" i="14"/>
  <c r="Y2" i="14"/>
  <c r="Y19" i="14"/>
  <c r="Y12" i="14"/>
  <c r="Y16" i="14"/>
  <c r="Y5" i="14"/>
  <c r="Y9" i="14"/>
  <c r="Y21" i="14"/>
  <c r="B30" i="14"/>
  <c r="B45" i="14" s="1"/>
  <c r="K25" i="8"/>
  <c r="F45" i="8" s="1"/>
  <c r="B23" i="14"/>
  <c r="B25" i="14" s="1"/>
  <c r="K21" i="14"/>
  <c r="K5" i="14"/>
  <c r="K10" i="14"/>
  <c r="K11" i="14"/>
  <c r="K16" i="14"/>
  <c r="S26" i="8"/>
  <c r="B2" i="14"/>
  <c r="B47" i="14" s="1"/>
  <c r="O25" i="8"/>
  <c r="F46" i="8" s="1"/>
  <c r="N14" i="8"/>
  <c r="K23" i="8" s="1"/>
  <c r="F44" i="8" s="1"/>
  <c r="G13" i="8"/>
  <c r="O35" i="8" s="1"/>
  <c r="G15" i="8"/>
  <c r="J20" i="2"/>
  <c r="J18" i="2"/>
  <c r="J10" i="2"/>
  <c r="K22" i="2"/>
  <c r="K14" i="2"/>
  <c r="J16" i="2"/>
  <c r="K12" i="2"/>
  <c r="M20" i="2"/>
  <c r="M4" i="2"/>
  <c r="H3" i="2"/>
  <c r="J15" i="2"/>
  <c r="J7" i="2"/>
  <c r="K19" i="2"/>
  <c r="K11" i="2"/>
  <c r="L3" i="2"/>
  <c r="L15" i="2"/>
  <c r="L7" i="2"/>
  <c r="M19" i="2"/>
  <c r="M11" i="2"/>
  <c r="J8" i="2"/>
  <c r="K20" i="2"/>
  <c r="K4" i="2"/>
  <c r="L8" i="2"/>
  <c r="M12" i="2"/>
  <c r="M7" i="3" s="1"/>
  <c r="J22" i="2"/>
  <c r="J14" i="2"/>
  <c r="J6" i="2"/>
  <c r="K18" i="2"/>
  <c r="K10" i="2"/>
  <c r="L22" i="2"/>
  <c r="L14" i="2"/>
  <c r="L6" i="2"/>
  <c r="M18" i="2"/>
  <c r="M10" i="2"/>
  <c r="L16" i="2"/>
  <c r="J21" i="2"/>
  <c r="J13" i="2"/>
  <c r="J5" i="2"/>
  <c r="K17" i="2"/>
  <c r="K9" i="2"/>
  <c r="L21" i="2"/>
  <c r="L13" i="2"/>
  <c r="L5" i="2"/>
  <c r="M17" i="2"/>
  <c r="M4" i="3" s="1"/>
  <c r="M9" i="2"/>
  <c r="K16" i="2"/>
  <c r="L12" i="2"/>
  <c r="M8" i="2"/>
  <c r="J12" i="2"/>
  <c r="K8" i="2"/>
  <c r="L20" i="2"/>
  <c r="L4" i="2"/>
  <c r="M16" i="2"/>
  <c r="J19" i="2"/>
  <c r="J11" i="2"/>
  <c r="K3" i="2"/>
  <c r="K15" i="2"/>
  <c r="K7" i="2"/>
  <c r="L19" i="2"/>
  <c r="L11" i="2"/>
  <c r="M3" i="2"/>
  <c r="M15" i="2"/>
  <c r="M6" i="3" s="1"/>
  <c r="M7" i="2"/>
  <c r="K6" i="2"/>
  <c r="L10" i="2"/>
  <c r="M22" i="2"/>
  <c r="M6" i="2"/>
  <c r="L18" i="2"/>
  <c r="M14" i="2"/>
  <c r="M5" i="3" s="1"/>
  <c r="J17" i="2"/>
  <c r="J9" i="2"/>
  <c r="K21" i="2"/>
  <c r="K13" i="2"/>
  <c r="K5" i="2"/>
  <c r="L17" i="2"/>
  <c r="L9" i="2"/>
  <c r="M21" i="2"/>
  <c r="M13" i="2"/>
  <c r="K12" i="14" l="1"/>
  <c r="K19" i="14"/>
  <c r="M12" i="14"/>
  <c r="M26" i="14" s="1"/>
  <c r="K3" i="14"/>
  <c r="K9" i="14"/>
  <c r="K18" i="14"/>
  <c r="K15" i="14"/>
  <c r="K22" i="14"/>
  <c r="K14" i="14"/>
  <c r="K6" i="14"/>
  <c r="K7" i="14"/>
  <c r="Y17" i="14"/>
  <c r="Y3" i="14"/>
  <c r="Y8" i="14"/>
  <c r="Y15" i="14"/>
  <c r="Y18" i="14"/>
  <c r="K13" i="14"/>
  <c r="K8" i="14"/>
  <c r="K2" i="14"/>
  <c r="K20" i="14"/>
  <c r="K4" i="14"/>
  <c r="K17" i="14"/>
  <c r="P3" i="14"/>
  <c r="P4" i="14" s="1"/>
  <c r="P5" i="14" s="1"/>
  <c r="P6" i="14" s="1"/>
  <c r="P7" i="14" s="1"/>
  <c r="P8" i="14" s="1"/>
  <c r="P9" i="14" s="1"/>
  <c r="P10" i="14" s="1"/>
  <c r="P11" i="14" s="1"/>
  <c r="P12" i="14" s="1"/>
  <c r="P13" i="14" s="1"/>
  <c r="P14" i="14" s="1"/>
  <c r="P15" i="14" s="1"/>
  <c r="P16" i="14" s="1"/>
  <c r="P17" i="14" s="1"/>
  <c r="P18" i="14" s="1"/>
  <c r="P19" i="14" s="1"/>
  <c r="P20" i="14" s="1"/>
  <c r="P21" i="14" s="1"/>
  <c r="P22" i="14" s="1"/>
  <c r="Y13" i="14"/>
  <c r="Y20" i="14"/>
  <c r="Y4" i="14"/>
  <c r="Y11" i="14"/>
  <c r="Z2" i="14" s="1"/>
  <c r="B20" i="14"/>
  <c r="L22" i="14"/>
  <c r="L26" i="14" s="1"/>
  <c r="V42" i="8"/>
  <c r="B42" i="14"/>
  <c r="O38" i="8"/>
  <c r="G16" i="8"/>
  <c r="I6" i="14"/>
  <c r="I13" i="14"/>
  <c r="I21" i="14"/>
  <c r="I8" i="14"/>
  <c r="I2" i="14"/>
  <c r="I15" i="14"/>
  <c r="I12" i="14"/>
  <c r="I5" i="14"/>
  <c r="I22" i="14"/>
  <c r="I4" i="14"/>
  <c r="I14" i="14"/>
  <c r="I19" i="14"/>
  <c r="I7" i="14"/>
  <c r="I16" i="14"/>
  <c r="I20" i="14"/>
  <c r="I18" i="14"/>
  <c r="I3" i="14"/>
  <c r="I17" i="14"/>
  <c r="I9" i="14"/>
  <c r="I11" i="14"/>
  <c r="I10" i="14"/>
  <c r="O37" i="8"/>
  <c r="D13" i="8"/>
  <c r="B17" i="8" s="1"/>
  <c r="P3" i="2"/>
  <c r="S4" i="2"/>
  <c r="S12" i="2"/>
  <c r="N7" i="3" s="1"/>
  <c r="S7" i="3" s="1"/>
  <c r="G9" i="3" s="1"/>
  <c r="G6" i="3" s="1"/>
  <c r="S21" i="2"/>
  <c r="R9" i="2"/>
  <c r="R17" i="2"/>
  <c r="Q5" i="2"/>
  <c r="Q13" i="2"/>
  <c r="Q21" i="2"/>
  <c r="P9" i="2"/>
  <c r="P17" i="2"/>
  <c r="Q22" i="2"/>
  <c r="S5" i="2"/>
  <c r="S13" i="2"/>
  <c r="S22" i="2"/>
  <c r="R10" i="2"/>
  <c r="R18" i="2"/>
  <c r="Q6" i="2"/>
  <c r="Q14" i="2"/>
  <c r="P10" i="2"/>
  <c r="P18" i="2"/>
  <c r="S6" i="2"/>
  <c r="S14" i="2"/>
  <c r="N5" i="3" s="1"/>
  <c r="S5" i="3" s="1"/>
  <c r="S3" i="2"/>
  <c r="R11" i="2"/>
  <c r="R19" i="2"/>
  <c r="Q7" i="2"/>
  <c r="Q15" i="2"/>
  <c r="Q3" i="2"/>
  <c r="P11" i="2"/>
  <c r="P19" i="2"/>
  <c r="S15" i="2"/>
  <c r="N6" i="3" s="1"/>
  <c r="Q16" i="2"/>
  <c r="P12" i="2"/>
  <c r="P20" i="2"/>
  <c r="S7" i="2"/>
  <c r="R4" i="2"/>
  <c r="R12" i="2"/>
  <c r="R20" i="2"/>
  <c r="Q8" i="2"/>
  <c r="P4" i="2"/>
  <c r="S8" i="2"/>
  <c r="S17" i="2"/>
  <c r="N4" i="3" s="1"/>
  <c r="S4" i="3" s="1"/>
  <c r="R5" i="2"/>
  <c r="R13" i="2"/>
  <c r="R21" i="2"/>
  <c r="Q9" i="2"/>
  <c r="Q17" i="2"/>
  <c r="P5" i="2"/>
  <c r="P13" i="2"/>
  <c r="P21" i="2"/>
  <c r="Q4" i="2"/>
  <c r="S9" i="2"/>
  <c r="S18" i="2"/>
  <c r="R6" i="2"/>
  <c r="R14" i="2"/>
  <c r="R22" i="2"/>
  <c r="Q10" i="2"/>
  <c r="Q18" i="2"/>
  <c r="P6" i="2"/>
  <c r="P14" i="2"/>
  <c r="P22" i="2"/>
  <c r="S16" i="2"/>
  <c r="N3" i="3" s="1"/>
  <c r="S20" i="2"/>
  <c r="R16" i="2"/>
  <c r="Q20" i="2"/>
  <c r="P16" i="2"/>
  <c r="S10" i="2"/>
  <c r="S19" i="2"/>
  <c r="R7" i="2"/>
  <c r="R15" i="2"/>
  <c r="R3" i="2"/>
  <c r="Q11" i="2"/>
  <c r="Q19" i="2"/>
  <c r="P7" i="2"/>
  <c r="P15" i="2"/>
  <c r="S11" i="2"/>
  <c r="R8" i="2"/>
  <c r="Q12" i="2"/>
  <c r="P8" i="2"/>
  <c r="K26" i="14" l="1"/>
  <c r="B41" i="14"/>
  <c r="J6" i="14"/>
  <c r="R6" i="14" s="1"/>
  <c r="J10" i="14"/>
  <c r="J14" i="14"/>
  <c r="R14" i="14" s="1"/>
  <c r="J18" i="14"/>
  <c r="J22" i="14"/>
  <c r="R22" i="14" s="1"/>
  <c r="J13" i="14"/>
  <c r="J17" i="14"/>
  <c r="R17" i="14" s="1"/>
  <c r="J3" i="14"/>
  <c r="J7" i="14"/>
  <c r="J11" i="14"/>
  <c r="J15" i="14"/>
  <c r="R15" i="14" s="1"/>
  <c r="J19" i="14"/>
  <c r="J2" i="14"/>
  <c r="R2" i="14" s="1"/>
  <c r="J9" i="14"/>
  <c r="R9" i="14" s="1"/>
  <c r="J21" i="14"/>
  <c r="R21" i="14" s="1"/>
  <c r="J4" i="14"/>
  <c r="R4" i="14" s="1"/>
  <c r="J8" i="14"/>
  <c r="R8" i="14" s="1"/>
  <c r="J12" i="14"/>
  <c r="J16" i="14"/>
  <c r="R16" i="14" s="1"/>
  <c r="J20" i="14"/>
  <c r="J5" i="14"/>
  <c r="R5" i="14" s="1"/>
  <c r="B39" i="14"/>
  <c r="B19" i="14"/>
  <c r="O40" i="8"/>
  <c r="V40" i="8" s="1"/>
  <c r="R18" i="14"/>
  <c r="R12" i="14"/>
  <c r="R20" i="14"/>
  <c r="R19" i="14"/>
  <c r="R13" i="14"/>
  <c r="R7" i="14"/>
  <c r="R3" i="14"/>
  <c r="R11" i="14"/>
  <c r="R10" i="14"/>
  <c r="I26" i="14"/>
  <c r="B15" i="8"/>
  <c r="O23" i="8"/>
  <c r="J4" i="1"/>
  <c r="G13" i="1" s="1"/>
  <c r="I4" i="3"/>
  <c r="B8" i="5" s="1"/>
  <c r="I3" i="3"/>
  <c r="B7" i="5" s="1"/>
  <c r="S2" i="14" l="1"/>
  <c r="W5" i="14"/>
  <c r="W6" i="14"/>
  <c r="W3" i="14"/>
  <c r="W4" i="14"/>
  <c r="W12" i="14"/>
  <c r="W19" i="14"/>
  <c r="W2" i="14"/>
  <c r="W10" i="14"/>
  <c r="W16" i="14"/>
  <c r="W14" i="14"/>
  <c r="W18" i="14"/>
  <c r="W22" i="14"/>
  <c r="W13" i="14"/>
  <c r="W17" i="14"/>
  <c r="W20" i="14"/>
  <c r="W8" i="14"/>
  <c r="W11" i="14"/>
  <c r="W7" i="14"/>
  <c r="W15" i="14"/>
  <c r="W21" i="14"/>
  <c r="W9" i="14"/>
  <c r="J26" i="14"/>
  <c r="O28" i="8"/>
  <c r="B15" i="14"/>
  <c r="B16" i="8"/>
  <c r="O29" i="8" s="1"/>
  <c r="I6" i="3"/>
  <c r="M21" i="3" s="1"/>
  <c r="G17" i="1"/>
  <c r="G14" i="1"/>
  <c r="X2" i="14" l="1"/>
  <c r="V2" i="14"/>
  <c r="G2" i="14"/>
  <c r="B37" i="14"/>
  <c r="I18" i="3"/>
  <c r="K18" i="3"/>
  <c r="M20" i="3"/>
  <c r="B20" i="5"/>
  <c r="G15" i="1"/>
  <c r="B19" i="5" s="1"/>
  <c r="G2" i="5" s="1"/>
  <c r="AB2" i="14" l="1"/>
  <c r="F4" i="14" s="1"/>
  <c r="AA2" i="14"/>
  <c r="E4" i="14" s="1"/>
  <c r="U2" i="14"/>
  <c r="D4" i="14" s="1"/>
  <c r="T2" i="14"/>
  <c r="O2" i="14"/>
  <c r="O3" i="14" s="1"/>
  <c r="N26" i="14"/>
  <c r="I12" i="5"/>
  <c r="I13" i="5"/>
  <c r="I14" i="5"/>
  <c r="I32" i="5"/>
  <c r="I27" i="5"/>
  <c r="I7" i="5"/>
  <c r="I31" i="5"/>
  <c r="I10" i="5"/>
  <c r="I21" i="5"/>
  <c r="I20" i="5"/>
  <c r="I17" i="5"/>
  <c r="I30" i="5"/>
  <c r="I26" i="5"/>
  <c r="I22" i="5"/>
  <c r="I18" i="5"/>
  <c r="I28" i="5"/>
  <c r="I3" i="5"/>
  <c r="I5" i="5"/>
  <c r="I8" i="5"/>
  <c r="I23" i="5"/>
  <c r="I6" i="5"/>
  <c r="I29" i="5"/>
  <c r="I2" i="5"/>
  <c r="N2" i="5" s="1"/>
  <c r="I19" i="5"/>
  <c r="I25" i="5"/>
  <c r="I16" i="5"/>
  <c r="I11" i="5"/>
  <c r="I24" i="5"/>
  <c r="I15" i="5"/>
  <c r="I9" i="5"/>
  <c r="I4" i="5"/>
  <c r="Q2" i="14" l="1"/>
  <c r="Q3" i="14"/>
  <c r="O4" i="14"/>
  <c r="P2" i="5"/>
  <c r="N3" i="5"/>
  <c r="Q4" i="14" l="1"/>
  <c r="O5" i="14"/>
  <c r="N4" i="5"/>
  <c r="P3" i="5"/>
  <c r="O6" i="14" l="1"/>
  <c r="Q5" i="14"/>
  <c r="N5" i="5"/>
  <c r="P4" i="5"/>
  <c r="Q6" i="14" l="1"/>
  <c r="O7" i="14"/>
  <c r="P5" i="5"/>
  <c r="N6" i="5"/>
  <c r="O8" i="14" l="1"/>
  <c r="Q7" i="14"/>
  <c r="N7" i="5"/>
  <c r="P6" i="5"/>
  <c r="O9" i="14" l="1"/>
  <c r="Q8" i="14"/>
  <c r="P7" i="5"/>
  <c r="N8" i="5"/>
  <c r="O10" i="14" l="1"/>
  <c r="Q9" i="14"/>
  <c r="P8" i="5"/>
  <c r="N9" i="5"/>
  <c r="O11" i="14" l="1"/>
  <c r="Q10" i="14"/>
  <c r="N10" i="5"/>
  <c r="P9" i="5"/>
  <c r="Q11" i="14" l="1"/>
  <c r="O12" i="14"/>
  <c r="N11" i="5"/>
  <c r="P10" i="5"/>
  <c r="Q12" i="14" l="1"/>
  <c r="O13" i="14"/>
  <c r="N12" i="5"/>
  <c r="P11" i="5"/>
  <c r="O14" i="14" l="1"/>
  <c r="Q13" i="14"/>
  <c r="P12" i="5"/>
  <c r="N13" i="5"/>
  <c r="Q14" i="14" l="1"/>
  <c r="O15" i="14"/>
  <c r="N14" i="5"/>
  <c r="P13" i="5"/>
  <c r="Q15" i="14" l="1"/>
  <c r="O16" i="14"/>
  <c r="P14" i="5"/>
  <c r="N15" i="5"/>
  <c r="Q16" i="14" l="1"/>
  <c r="O17" i="14"/>
  <c r="N16" i="5"/>
  <c r="P15" i="5"/>
  <c r="O18" i="14" l="1"/>
  <c r="Q17" i="14"/>
  <c r="N17" i="5"/>
  <c r="P16" i="5"/>
  <c r="Q18" i="14" l="1"/>
  <c r="O19" i="14"/>
  <c r="N18" i="5"/>
  <c r="P17" i="5"/>
  <c r="Q19" i="14" l="1"/>
  <c r="O20" i="14"/>
  <c r="N19" i="5"/>
  <c r="P18" i="5"/>
  <c r="O21" i="14" l="1"/>
  <c r="Q20" i="14"/>
  <c r="N20" i="5"/>
  <c r="P19" i="5"/>
  <c r="O22" i="14" l="1"/>
  <c r="Q22" i="14" s="1"/>
  <c r="Q21" i="14"/>
  <c r="N21" i="5"/>
  <c r="P20" i="5"/>
  <c r="N22" i="5" l="1"/>
  <c r="P21" i="5"/>
  <c r="N23" i="5" l="1"/>
  <c r="P22" i="5"/>
  <c r="N24" i="5" l="1"/>
  <c r="P23" i="5"/>
  <c r="N25" i="5" l="1"/>
  <c r="P24" i="5"/>
  <c r="N26" i="5" l="1"/>
  <c r="P25" i="5"/>
  <c r="N27" i="5" l="1"/>
  <c r="P26" i="5"/>
  <c r="N28" i="5" l="1"/>
  <c r="P27" i="5"/>
  <c r="N29" i="5" l="1"/>
  <c r="P28" i="5"/>
  <c r="N30" i="5" l="1"/>
  <c r="P29" i="5"/>
  <c r="P30" i="5" l="1"/>
  <c r="N31" i="5"/>
  <c r="N32" i="5" l="1"/>
  <c r="P32" i="5" s="1"/>
  <c r="P3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tc={CFCC1B52-8C5A-46E9-A887-F89F176FEA95}</author>
    <author>tc={83067067-8463-4E14-8F4C-C8F5216F82B8}</author>
    <author>tc={9CE61457-26E0-4757-ABF5-B2B11FDAAC41}</author>
    <author>tc={D77073EC-B8E0-4996-8EE6-E39991764EFE}</author>
    <author>tc={9D75F31F-001D-41CA-A43D-97F1473C6CBD}</author>
    <author>tc={E335DAC7-8151-4874-8114-766B5AE7D8A0}</author>
    <author>tc={72EC8341-3A1E-4ACA-8C06-A6CD7496E249}</author>
    <author>tc={C3538C9D-28DC-4410-B178-CF287E19581B}</author>
    <author>tc={4A36FF9D-7933-4B28-9C1C-72ACC495E285}</author>
    <author>tc={799441DF-FA64-495D-B520-E5BD3CE7E531}</author>
    <author>tc={C2384AD4-F81A-4703-B995-E4509D87FE56}</author>
    <author>tc={5A98D32D-3A22-4DDA-B153-2401BF4C3A21}</author>
    <author>tc={56F44DB0-88BF-4C7C-8375-01420ABA8595}</author>
    <author>tc={455A4DBA-A1AE-408A-9B1F-AD47FC8DE347}</author>
    <author>tc={3E51B244-2244-4AB9-B54E-3921B66D315F}</author>
    <author>tc={7536915C-7F65-491E-B9FE-A382834A0095}</author>
    <author>tc={6FDF6608-B8E3-4B8A-A2B5-379683E0C029}</author>
    <author>tc={320CF667-1617-4315-BF1D-A4C2034C090B}</author>
    <author>tc={603F89E2-D41F-47B2-8901-FD129DA3DC5F}</author>
    <author>tc={984CE5AB-2771-46A0-A505-8434EBC9020E}</author>
    <author>tc={BFF34AEB-C17D-44A8-9554-C3F48163B1CC}</author>
    <author>tc={814338B7-EB15-4EFF-86E5-8103223B430D}</author>
  </authors>
  <commentList>
    <comment ref="H2" authorId="0" shapeId="0" xr:uid="{CFCC1B52-8C5A-46E9-A887-F89F176FEA95}">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On the economics of a hydrogen bus fleet powered
by a wind park e A case study for Austria pag 5 table 1
Mi da in tabella un periodo di monitoraggio di 10 anni, con il relativo consumo totale di idrogeno, assumo consumo costante ogni anno quindi ottengo dividendo la distanza totale trascorsa (45000 km) per 10 anni, il valore 4500 [km/y]
</t>
      </text>
    </comment>
    <comment ref="B3" authorId="1" shapeId="0" xr:uid="{83067067-8463-4E14-8F4C-C8F5216F82B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https://www.quattroruote.it/news/curiosita/2016/02/24/italiani_alla_guida_in_media_percorrono_11_200_km_all_anno_.html
Rispondi:
FONTE 2: https://www.dalcarnoleggio.it/kmannui/#:~:text=I%20risultati%20si%20differenziano%20leggermente,notevolmente%20da%20regione%20a%20regione.</t>
      </text>
    </comment>
    <comment ref="D3" authorId="2" shapeId="0" xr:uid="{9CE61457-26E0-4757-ABF5-B2B11FDAAC41}">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https://www.toyota.it/electrified/fuel-cell/che-autonomia-hanno-le-auto-a-idrogeno
</t>
      </text>
    </comment>
    <comment ref="H3" authorId="3" shapeId="0" xr:uid="{D77073EC-B8E0-4996-8EE6-E39991764EF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On the economics of a hydrogen bus fleet powered
by a wind park e A case study for Austria pag 5</t>
      </text>
    </comment>
    <comment ref="G4" authorId="4" shapeId="0" xr:uid="{9D75F31F-001D-41CA-A43D-97F1473C6CB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In the scientific report, it's written that i need 9kg_H2/100km, so i made the calculation to find how many km i can do with 1 kg_H2</t>
      </text>
    </comment>
    <comment ref="B5" authorId="5" shapeId="0" xr:uid="{E335DAC7-8151-4874-8114-766B5AE7D8A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https://www.alvolante.it/news/toyota-mirai-record-1003-km-un-pieno-idrogeno-373646</t>
      </text>
    </comment>
    <comment ref="H5" authorId="6" shapeId="0" xr:uid="{72EC8341-3A1E-4ACA-8C06-A6CD7496E24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multipling [km/kg_H2]*FULL BUS TANK CAPACITY [kg_H2], i can obtain how many km i can do with full tank capacity</t>
      </text>
    </comment>
    <comment ref="B6" authorId="7" shapeId="0" xr:uid="{C3538C9D-28DC-4410-B178-CF287E19581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Pag 61: https://www.isolesostenibili.it/wp-content/uploads/2022/03/ENG-Libro-ISOLE21-1.pdf</t>
      </text>
    </comment>
    <comment ref="E6" authorId="8" shapeId="0" xr:uid="{4A36FF9D-7933-4B28-9C1C-72ACC495E28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Da report isole sostenibili ottengo questi valori facendo la proporzione sul totale dei veicoli presenti</t>
      </text>
    </comment>
    <comment ref="A7" authorId="9" shapeId="0" xr:uid="{799441DF-FA64-495D-B520-E5BD3CE7E531}">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https://www.toyota.it/electrified/fuel-cell/che-autonomia-hanno-le-auto-a-idrogeno
</t>
      </text>
    </comment>
    <comment ref="B9" authorId="10" shapeId="0" xr:uid="{C2384AD4-F81A-4703-B995-E4509D87FE5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total amount of hydrogen that i need for all amount of vehicles in the island [kg_H2/year]</t>
      </text>
    </comment>
    <comment ref="J11" authorId="11" shapeId="0" xr:uid="{5A98D32D-3A22-4DDA-B153-2401BF4C3A2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 ref="A12" authorId="12" shapeId="0" xr:uid="{56F44DB0-88BF-4C7C-8375-01420ABA859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https://www.methanol.org/methanol-price-supply-demand/</t>
      </text>
    </comment>
    <comment ref="B12" authorId="13" shapeId="0" xr:uid="{455A4DBA-A1AE-408A-9B1F-AD47FC8DE34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Controlla di nuovo se è biomethanol o e-methanol</t>
      </text>
    </comment>
    <comment ref="F12" authorId="14" shapeId="0" xr:uid="{3E51B244-2244-4AB9-B54E-3921B66D315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 ref="A14" authorId="15" shapeId="0" xr:uid="{7536915C-7F65-491E-B9FE-A382834A009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https://www.indiamart.com/proddetail/methanol-storage-tank-25303131688.html</t>
      </text>
    </comment>
    <comment ref="F14" authorId="16" shapeId="0" xr:uid="{6FDF6608-B8E3-4B8A-A2B5-379683E0C029}">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L'idrogeno che produco si riferisce al punto della mia curva di polarizzazione: considero l'idrogeno all'anno che produco in quelle condizioni di corrente e tensione e lo moltiplico per il numero di elettrolizzatori che mi serve per raggiungere il mio output, siccome devo avere un numero intero di elettrolizzatori, arrotondo per eccesso il valore e quindi produrrò leggermente di più di quanto mi viene richiesto ogni anno</t>
      </text>
    </comment>
    <comment ref="B15" authorId="17" shapeId="0" xr:uid="{320CF667-1617-4315-BF1D-A4C2034C090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tank that i need to store methanol for one month</t>
      </text>
    </comment>
    <comment ref="C15" authorId="18" shapeId="0" xr:uid="{603F89E2-D41F-47B2-8901-FD129DA3DC5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From the reaction I calculate the stoichiometric quantity of methanol I need to produce my final hydrogen output</t>
      </text>
    </comment>
    <comment ref="B16" authorId="19" shapeId="0" xr:uid="{984CE5AB-2771-46A0-A505-8434EBC9020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Litri totali di metanolo che posso conservare</t>
      </text>
    </comment>
    <comment ref="B18" authorId="20" shapeId="0" xr:uid="{BFF34AEB-C17D-44A8-9554-C3F48163B1C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After 30 days i have to refill the tank
Rispondi:
30 giorni assunti da me</t>
      </text>
    </comment>
    <comment ref="R22" authorId="21" shapeId="0" xr:uid="{814338B7-EB15-4EFF-86E5-8103223B430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https://www.energy.gov/eere/fuelcells/doe-technical-targets-hydrogen-delivery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tc={ED021ED6-8CA6-42D7-8FF0-E9CEC556FD5B}</author>
    <author>tc={F4863492-4AB8-475D-8080-25E9BCED8F88}</author>
    <author>tc={51134240-0EB6-4DE6-8172-864B8E1295BE}</author>
    <author>tc={BBAD98B2-00C4-4515-9B53-3635DC51A2D3}</author>
    <author>tc={784EFB24-50DD-4F7E-9A9B-85D19A07998E}</author>
    <author>tc={A5FFDFE9-EE47-4DF5-A771-011732995AD4}</author>
    <author>tc={BE52322A-A332-4EA3-AC01-8537B2FB83A7}</author>
  </authors>
  <commentList>
    <comment ref="D2" authorId="0" shapeId="0" xr:uid="{ED021ED6-8CA6-42D7-8FF0-E9CEC556FD5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Calculated at 70°C
Rispondi:
REFERENCE: PAG 19
Production of Clean Hydrogen by Electrochemical Reforming of Oxygenated Organic Compounds</t>
      </text>
    </comment>
    <comment ref="E2" authorId="1" shapeId="0" xr:uid="{F4863492-4AB8-475D-8080-25E9BCED8F88}">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Ricalcola alla corretta temperatura quando aggiorni con la nuova curva di polarizzazione
</t>
      </text>
    </comment>
    <comment ref="F2" authorId="2" shapeId="0" xr:uid="{51134240-0EB6-4DE6-8172-864B8E1295B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Pag 19 del report: production of clean hydrogen by electroreforming of oxyg. Org compounds
Rispondi:
Calculated at 70°C</t>
      </text>
    </comment>
    <comment ref="G2" authorId="3" shapeId="0" xr:uid="{BBAD98B2-00C4-4515-9B53-3635DC51A2D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Report: pag 8 (salvato sul pc come: 
faradaic eff)
 Faradaic Efficiencies for Methanol Oxidation in Proton-Exchange Membrane Electrolysis and Fuel Cells with Various Anode Catalysts 
Rispondi:
PAG 8, TABLE 1</t>
      </text>
    </comment>
    <comment ref="I3" authorId="4" shapeId="0" xr:uid="{784EFB24-50DD-4F7E-9A9B-85D19A07998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Assuming CF=100%</t>
      </text>
    </comment>
    <comment ref="K3" authorId="5" shapeId="0" xr:uid="{A5FFDFE9-EE47-4DF5-A771-011732995AD4}">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https://www.sciencedirect.com/science/article/pii/S136403211731242X#f0055 </t>
      </text>
    </comment>
    <comment ref="H4" authorId="6" shapeId="0" xr:uid="{BE52322A-A332-4EA3-AC01-8537B2FB83A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Reference:
https://www.sciencedirect.com/science/article/pii/S136403211731242X#f0055 
Rispondi:
Isn't the data for the number of the cell, but starting from the data available in the document, is possible to make an extimation.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tc={F67BED40-2A1A-4587-836E-54FEC9A578F3}</author>
  </authors>
  <commentList>
    <comment ref="B3" authorId="0" shapeId="0" xr:uid="{F67BED40-2A1A-4587-836E-54FEC9A578F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You can find the formula in the supporting information word document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tc={B884036D-B9E7-41BC-9209-D3BB05391B01}</author>
    <author>tc={D5CFFBE9-E629-43F2-AD5D-6E4C282E0D97}</author>
    <author>tc={782747D0-A971-40AB-B1B5-84EE2E744166}</author>
    <author>tc={89B30177-15A9-42E5-866D-CCA1AE76C8CF}</author>
    <author>tc={11634258-43CF-4D61-B703-66884D2416D0}</author>
    <author>tc={06EBA73B-6610-4683-8A89-D7A7D7EDD1DC}</author>
    <author>tc={0C6EC151-FB6C-4BA4-90A1-4F0F1AD01A35}</author>
  </authors>
  <commentList>
    <comment ref="AB1" authorId="0" shapeId="0" xr:uid="{B884036D-B9E7-41BC-9209-D3BB05391B0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Numeratore uguale alla formula della reference, cioè con decommisioning e substitution come opex attualizzati, denominatore non attualizzando l'idrogeno prodotto</t>
      </text>
    </comment>
    <comment ref="H2" authorId="1" shapeId="0" xr:uid="{D5CFFBE9-E629-43F2-AD5D-6E4C282E0D9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Proporre di fare in 20 anni tanto non cambia</t>
      </text>
    </comment>
    <comment ref="U2" authorId="2" shapeId="0" xr:uid="{782747D0-A971-40AB-B1B5-84EE2E74416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Considero nel capex anche decommisioning e substitution, denominatore non attualizzato</t>
      </text>
    </comment>
    <comment ref="AA2" authorId="3" shapeId="0" xr:uid="{89B30177-15A9-42E5-866D-CCA1AE76C8C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Formula identica a come fatto nella reference</t>
      </text>
    </comment>
    <comment ref="A24" authorId="4" shapeId="0" xr:uid="{11634258-43CF-4D61-B703-66884D2416D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Media fatta da due report
Rispondi:
-IEA: https://www.iea.org/commentaries/is-carbon-capture-too-expensive
-A multi-scale framework for CO2capture, utilization, andsequestration: CCUS and CCU</t>
      </text>
    </comment>
    <comment ref="A30" authorId="5" shapeId="0" xr:uid="{06EBA73B-6610-4683-8A89-D7A7D7EDD1D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Va aggiunto ogni anno di decommisioning o solo alla fine</t>
      </text>
    </comment>
    <comment ref="A31" authorId="6" shapeId="0" xr:uid="{0C6EC151-FB6C-4BA4-90A1-4F0F1AD01A3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Parla di questo</t>
      </text>
    </comment>
  </commentList>
</comments>
</file>

<file path=xl/sharedStrings.xml><?xml version="1.0" encoding="utf-8"?>
<sst xmlns="http://schemas.openxmlformats.org/spreadsheetml/2006/main" count="660" uniqueCount="419">
  <si>
    <t>Automotive</t>
  </si>
  <si>
    <t>BUS</t>
  </si>
  <si>
    <t>giorni in un anno</t>
  </si>
  <si>
    <t>durata in giorni di un pieno [gg]</t>
  </si>
  <si>
    <t>Totali km percorsi con un pieno</t>
  </si>
  <si>
    <t>totale idrogeno che mi serve</t>
  </si>
  <si>
    <t>kg/y</t>
  </si>
  <si>
    <t>totale pieni in un anno</t>
  </si>
  <si>
    <t>numero di elettrolizzatori necessari</t>
  </si>
  <si>
    <t>idrogeno in un pieno [kg]</t>
  </si>
  <si>
    <t>pieni in un anno</t>
  </si>
  <si>
    <t>numero di auto totali</t>
  </si>
  <si>
    <t>numero di bus totali</t>
  </si>
  <si>
    <t>totale idrogeno necessario per un auto/year</t>
  </si>
  <si>
    <t>kg/(auto*year)</t>
  </si>
  <si>
    <t>totale idrogeno necessario per un BUS/year</t>
  </si>
  <si>
    <t>totale idrogeno necessario per tutte le auto</t>
  </si>
  <si>
    <t>kg/year</t>
  </si>
  <si>
    <t>totale idrogeno necessario per tutti i BUS</t>
  </si>
  <si>
    <t xml:space="preserve">metanolo </t>
  </si>
  <si>
    <t>hydrogen storage</t>
  </si>
  <si>
    <t>caso:Q18</t>
  </si>
  <si>
    <t>compressori?</t>
  </si>
  <si>
    <t>https://www.energy.gov/eere/fuelcells/doe-technical-targets-hydrogen-delivery</t>
  </si>
  <si>
    <t>costo metanolo euro/ton</t>
  </si>
  <si>
    <t>methanol density [kg/dm^3]=[g/cm^3]</t>
  </si>
  <si>
    <t>costo storage hydrogen [euro/kg]</t>
  </si>
  <si>
    <t>kWh/kg</t>
  </si>
  <si>
    <t>metanolo consumato [ton/y]</t>
  </si>
  <si>
    <t>metanolo consumato al giorno [kg/day]</t>
  </si>
  <si>
    <t>idrogeno prodotto ogni giorno</t>
  </si>
  <si>
    <t>energia totale consumata [MWh/y]</t>
  </si>
  <si>
    <t>costo tank di metanolo di capacità 15000L</t>
  </si>
  <si>
    <t>https://www.indiamart.com/proddetail/methanol-storage-tank-25303131688.html</t>
  </si>
  <si>
    <t>idrogeno prodotto ogni 7 gg</t>
  </si>
  <si>
    <t>capacity nominal load [kg/h]</t>
  </si>
  <si>
    <t>numero di tank necessari</t>
  </si>
  <si>
    <t>costo totale per il mio caso</t>
  </si>
  <si>
    <t>numero di compressori</t>
  </si>
  <si>
    <t>1 di backup</t>
  </si>
  <si>
    <t>litri totali</t>
  </si>
  <si>
    <t>costo di mantenimento al kg</t>
  </si>
  <si>
    <t>costo 1 compressore</t>
  </si>
  <si>
    <t>metanolo in litri che mi serve in un giorno</t>
  </si>
  <si>
    <t>idrogeno prodotto ogni ora [kg/h]</t>
  </si>
  <si>
    <r>
      <t>costo totale [M</t>
    </r>
    <r>
      <rPr>
        <sz val="11"/>
        <color theme="1"/>
        <rFont val="Calibri"/>
        <family val="2"/>
      </rPr>
      <t>€/y]</t>
    </r>
  </si>
  <si>
    <t>ogni quanti giorni devo riempire i tank di nuovo</t>
  </si>
  <si>
    <t>maintenaince [MEURO/y]</t>
  </si>
  <si>
    <t>polarization curve migliore</t>
  </si>
  <si>
    <t>provane alte</t>
  </si>
  <si>
    <t>energy consumed [kWh]</t>
  </si>
  <si>
    <t>hydrogen produced [kg/y] (faraday law)</t>
  </si>
  <si>
    <t>Voltage [V]</t>
  </si>
  <si>
    <t>Current [mA/cm^2]</t>
  </si>
  <si>
    <t>Power [mW/cm^2]</t>
  </si>
  <si>
    <t>efficiency</t>
  </si>
  <si>
    <t>Number of cell</t>
  </si>
  <si>
    <t>number of hour</t>
  </si>
  <si>
    <t>number of second in one year</t>
  </si>
  <si>
    <t>surface area [cm^2]</t>
  </si>
  <si>
    <t>nc=100</t>
  </si>
  <si>
    <t>nc=500</t>
  </si>
  <si>
    <t>nc=1000</t>
  </si>
  <si>
    <t>nc=2000</t>
  </si>
  <si>
    <t>reasonable</t>
  </si>
  <si>
    <t>dato per numero di elettrolizzatori</t>
  </si>
  <si>
    <t>dati idrogeno</t>
  </si>
  <si>
    <t>CASO 1</t>
  </si>
  <si>
    <t>Z</t>
  </si>
  <si>
    <t>CASO 2</t>
  </si>
  <si>
    <t>F</t>
  </si>
  <si>
    <t>CASO 3</t>
  </si>
  <si>
    <t>M_H2</t>
  </si>
  <si>
    <t>CASO4</t>
  </si>
  <si>
    <t>LHV [J/kg]</t>
  </si>
  <si>
    <t>CASO5</t>
  </si>
  <si>
    <t>EOLICO</t>
  </si>
  <si>
    <t>CAPEX [M€]</t>
  </si>
  <si>
    <t>YEARS</t>
  </si>
  <si>
    <t>OPEX [M€/y]</t>
  </si>
  <si>
    <t>METHANOL COST [M€/Y]</t>
  </si>
  <si>
    <t>DECOMISSIONING [M€]</t>
  </si>
  <si>
    <t>STACK SUBSTITUTION [M€]</t>
  </si>
  <si>
    <t>HYDROGEN PRODUCED EACH YEAR [kg/y]</t>
  </si>
  <si>
    <t>TOTALE COSTI</t>
  </si>
  <si>
    <t>TOTALE IDROGENO PRODOTTO</t>
  </si>
  <si>
    <t>hydrogen cost [€/kg]</t>
  </si>
  <si>
    <t>OPEX [M€]</t>
  </si>
  <si>
    <t>DECOMMISIONING [M€]</t>
  </si>
  <si>
    <t>PV</t>
  </si>
  <si>
    <t>METHANOL</t>
  </si>
  <si>
    <r>
      <t>COST OF 1 YEAR [M</t>
    </r>
    <r>
      <rPr>
        <sz val="11"/>
        <color theme="1"/>
        <rFont val="Calibri"/>
        <family val="2"/>
      </rPr>
      <t>€]</t>
    </r>
  </si>
  <si>
    <t>METHANOL STORAGE TANK</t>
  </si>
  <si>
    <t>CAPEX</t>
  </si>
  <si>
    <t>OPEX</t>
  </si>
  <si>
    <t>ipotizzo 3% del capex</t>
  </si>
  <si>
    <t>HYDROGEN STORAGE</t>
  </si>
  <si>
    <t>come mantenimento considero solo l'idrogeno che possono contenere i tank</t>
  </si>
  <si>
    <t>CO2 STORAGE</t>
  </si>
  <si>
    <t>ELECTROLYZER</t>
  </si>
  <si>
    <t>SUBSTITUTION [M€/10Y]</t>
  </si>
  <si>
    <t>IDROGENO CHE MI SERVE</t>
  </si>
  <si>
    <t>CASI</t>
  </si>
  <si>
    <t>ENERGIA DA PRODURRE [kWh/y]</t>
  </si>
  <si>
    <t>kg_H2 prodotti con questa energia</t>
  </si>
  <si>
    <t>numero di elettrolizzatori che mi servono per produrre l'idrogeno necessario</t>
  </si>
  <si>
    <t>ENERGIA CHE CONSUMO [MWh/y]</t>
  </si>
  <si>
    <r>
      <t>COSTO [</t>
    </r>
    <r>
      <rPr>
        <sz val="11"/>
        <color theme="1"/>
        <rFont val="Calibri"/>
        <family val="2"/>
      </rPr>
      <t>€/kW]</t>
    </r>
  </si>
  <si>
    <t>O&amp;M [€/kW]</t>
  </si>
  <si>
    <r>
      <t>OPEX [M</t>
    </r>
    <r>
      <rPr>
        <sz val="11"/>
        <color theme="1"/>
        <rFont val="Calibri"/>
        <family val="2"/>
      </rPr>
      <t>€]</t>
    </r>
  </si>
  <si>
    <t>DECOMISSIONING</t>
  </si>
  <si>
    <t>DECOMMISIONING</t>
  </si>
  <si>
    <t>MW installati</t>
  </si>
  <si>
    <t>TOTALE [M€]</t>
  </si>
  <si>
    <t>kW installati</t>
  </si>
  <si>
    <t>CASO 4</t>
  </si>
  <si>
    <t>CF</t>
  </si>
  <si>
    <t>CASO 5</t>
  </si>
  <si>
    <t>operation hour [h/y]</t>
  </si>
  <si>
    <t>MWh prodotti</t>
  </si>
  <si>
    <t>COSTO ELY appunti</t>
  </si>
  <si>
    <t>COSTO ELY MCPHY</t>
  </si>
  <si>
    <t>potenza [kW]</t>
  </si>
  <si>
    <t>costo al kW [€/kW]</t>
  </si>
  <si>
    <t>costo totale [M€]</t>
  </si>
  <si>
    <t>idrogeno prodotto [kg/y]</t>
  </si>
  <si>
    <t>fisso l'eolico come base di partenza e il resto lo copro con fotovoltaico che sono scalabili più facilmente</t>
  </si>
  <si>
    <t>PV+EOLICO</t>
  </si>
  <si>
    <t>PV+EOLICO+ELY</t>
  </si>
  <si>
    <t>PV+EOLICO-RICAVI VENDITA IDROGENO</t>
  </si>
  <si>
    <t>PV+EOLICO+ELY-RICAVI VENDITA IDROGENO</t>
  </si>
  <si>
    <t>COST OF HYDROGEN</t>
  </si>
  <si>
    <t>relativo ai dati sul tablet che produce meno idrogeno</t>
  </si>
  <si>
    <r>
      <t>PREZZO DI VENDITA IDROGENO CHE PRODUCO [</t>
    </r>
    <r>
      <rPr>
        <sz val="11"/>
        <color theme="1"/>
        <rFont val="Calibri"/>
        <family val="2"/>
      </rPr>
      <t>€/kg]</t>
    </r>
  </si>
  <si>
    <t>https://www.leaseplan.com/it-it/news-auto/futuro-della-mobilita/auto-a-idrogeno-come-funzionano-costi-e-modelli/#:~:text=Quanto%20costa%20il%20rifornimento%20di%20un'auto%20a%20idrogeno&amp;text=Il%20costo%20dell'idrogeno%20si,tratta%20di%20un%20rifornimento%20green.</t>
  </si>
  <si>
    <t>dovrei cambiare i dati relativi all'energia da produrre e quindi il costo aumenta ma ci sta perché sono elettrolizzatori ad acqua quindi ne richiedono di più</t>
  </si>
  <si>
    <t>BUS DATA</t>
  </si>
  <si>
    <t>days in one year</t>
  </si>
  <si>
    <t>km IN ONE YEAR MADE BY ONE BUS</t>
  </si>
  <si>
    <t>output that i need to satisfy the requests</t>
  </si>
  <si>
    <t>km that i can do with 45kg of bus tank capacity</t>
  </si>
  <si>
    <t>FULL BUS TANK CAPACITY [kg_H_2] a 350 bar</t>
  </si>
  <si>
    <t>total amount of fill up in one year</t>
  </si>
  <si>
    <t>BUSES IN THE ISLAND</t>
  </si>
  <si>
    <t xml:space="preserve">assunto io </t>
  </si>
  <si>
    <t>total amount of hydrogen that i need for one car [kg_H2/car*year]</t>
  </si>
  <si>
    <t>total amount of hydrogen that i need for one bus [kg_H2/bus*year]</t>
  </si>
  <si>
    <t>km/y</t>
  </si>
  <si>
    <t>methanol used each day [kg/day]</t>
  </si>
  <si>
    <t>total energy consumed [MWh/y]</t>
  </si>
  <si>
    <t>grams of methanol that i need to satisfy the hydrogen production [g/y]</t>
  </si>
  <si>
    <t>number of compressor</t>
  </si>
  <si>
    <t xml:space="preserve">maintenaince cost </t>
  </si>
  <si>
    <r>
      <t>one unit compressor cost [</t>
    </r>
    <r>
      <rPr>
        <sz val="11"/>
        <color theme="1"/>
        <rFont val="Calibri"/>
        <family val="2"/>
      </rPr>
      <t>€/compressor]</t>
    </r>
  </si>
  <si>
    <r>
      <t>total cost [M</t>
    </r>
    <r>
      <rPr>
        <sz val="11"/>
        <color theme="1"/>
        <rFont val="Calibri"/>
        <family val="2"/>
      </rPr>
      <t>€/y]</t>
    </r>
  </si>
  <si>
    <t>capacity in days</t>
  </si>
  <si>
    <t>Electrolyser cost: using vladimir formula in supporting information</t>
  </si>
  <si>
    <t>formula vladimir senza il secondo termine dentro le parentesi</t>
  </si>
  <si>
    <r>
      <t>costo_min [</t>
    </r>
    <r>
      <rPr>
        <sz val="11"/>
        <color theme="1"/>
        <rFont val="Calibri"/>
        <family val="2"/>
      </rPr>
      <t>€]</t>
    </r>
  </si>
  <si>
    <t>Faraday efficiency</t>
  </si>
  <si>
    <t>number of stacks that i need</t>
  </si>
  <si>
    <t>NOMINAL POWER [kW/stack]</t>
  </si>
  <si>
    <t>TOTAL INSTALLED POWER [MW]</t>
  </si>
  <si>
    <r>
      <t>ELECTROLYSER COST [M</t>
    </r>
    <r>
      <rPr>
        <b/>
        <sz val="11"/>
        <color theme="1"/>
        <rFont val="Calibri"/>
        <family val="2"/>
      </rPr>
      <t>€</t>
    </r>
    <r>
      <rPr>
        <b/>
        <sz val="10.65"/>
        <color theme="1"/>
        <rFont val="Calibri"/>
        <family val="2"/>
      </rPr>
      <t>]</t>
    </r>
  </si>
  <si>
    <t>dati tabella 2.2: production of clean hydrogen by electroreforming of oxyg. Org compounds pag 17</t>
  </si>
  <si>
    <t>TEMPERATURE</t>
  </si>
  <si>
    <t>ENTALPY [kJ/mol]</t>
  </si>
  <si>
    <t>GIBBS FREE ENERGY [kJ/mol]</t>
  </si>
  <si>
    <t>H2_STOR+COMPR</t>
  </si>
  <si>
    <t>THE ECONOMIC ANALYSIS IS BASED ON THIS POINT OF THE CURVE</t>
  </si>
  <si>
    <t>Total energy consumed [MWh/y]</t>
  </si>
  <si>
    <t>Costo elettricità [M€]</t>
  </si>
  <si>
    <t>grammi di acqua</t>
  </si>
  <si>
    <t>m^3 di acqua</t>
  </si>
  <si>
    <t>kg di acqua</t>
  </si>
  <si>
    <t>ISOLA SAN PIETRO</t>
  </si>
  <si>
    <t>Termoneutral voltage [V]</t>
  </si>
  <si>
    <t>U_reversible [V]</t>
  </si>
  <si>
    <t>Efficiency of the process</t>
  </si>
  <si>
    <t>Number of hour</t>
  </si>
  <si>
    <t>Number of second in one year</t>
  </si>
  <si>
    <t>CO2</t>
  </si>
  <si>
    <t>grammi prodotti</t>
  </si>
  <si>
    <t>kg prodotti</t>
  </si>
  <si>
    <t>ton prodotti</t>
  </si>
  <si>
    <t>Produced ton</t>
  </si>
  <si>
    <t>€/ton</t>
  </si>
  <si>
    <t>Cost [M€/y]</t>
  </si>
  <si>
    <t>Electricity cost</t>
  </si>
  <si>
    <t>total amount of hydrogen  [kg_H2/year]</t>
  </si>
  <si>
    <t>Methanol</t>
  </si>
  <si>
    <t>Compressors</t>
  </si>
  <si>
    <t>Hydrogen storage</t>
  </si>
  <si>
    <t>Water</t>
  </si>
  <si>
    <t>Energy consumed [kWh]</t>
  </si>
  <si>
    <t>Hydrogen produced [kg/y] (faraday law)</t>
  </si>
  <si>
    <t>Hydrogen value</t>
  </si>
  <si>
    <t>METHANOL COST [M€]</t>
  </si>
  <si>
    <t>Days in one year</t>
  </si>
  <si>
    <t>Average km/y for an italian car[gg]</t>
  </si>
  <si>
    <t>Total amount of fill up in one year</t>
  </si>
  <si>
    <t>Full tank car capacity [kg]</t>
  </si>
  <si>
    <t>Vehicles in the island</t>
  </si>
  <si>
    <t>Km with ful tank capacity</t>
  </si>
  <si>
    <t>Bio-methanol cost [euro/ton]</t>
  </si>
  <si>
    <t xml:space="preserve">Methanol consumed [ton/y] </t>
  </si>
  <si>
    <t>Methanol tank cost: 15000L capacity</t>
  </si>
  <si>
    <t>Numbers of tanks</t>
  </si>
  <si>
    <t>Storage tank capacity [l]</t>
  </si>
  <si>
    <t>Methanol consumed each day [l/d]</t>
  </si>
  <si>
    <t>Autovehicle</t>
  </si>
  <si>
    <t>Total amount of hydrogen that i need</t>
  </si>
  <si>
    <t>Hydrogen storage cost [euro/kg]</t>
  </si>
  <si>
    <t>Hydrogen produced each day [kg/d]</t>
  </si>
  <si>
    <t>Hydrogen produced each 5 days [kg/5d]</t>
  </si>
  <si>
    <r>
      <t>Total cost [M</t>
    </r>
    <r>
      <rPr>
        <sz val="11"/>
        <color theme="1"/>
        <rFont val="Calibri"/>
        <family val="2"/>
      </rPr>
      <t>€</t>
    </r>
    <r>
      <rPr>
        <sz val="11"/>
        <color theme="1"/>
        <rFont val="Calibri"/>
        <family val="2"/>
        <scheme val="minor"/>
      </rPr>
      <t>]</t>
    </r>
  </si>
  <si>
    <t>Hydrogen produced each hour [kg_H2/h]</t>
  </si>
  <si>
    <t>HOW MANY km THE BUS DOES WITH 1 kg OF  HYDROGEN [km/kgH_2]</t>
  </si>
  <si>
    <t>single cell</t>
  </si>
  <si>
    <t>spiega xk</t>
  </si>
  <si>
    <t>Cars</t>
  </si>
  <si>
    <t>Number of bus</t>
  </si>
  <si>
    <t>Total amount of hydrogen that i need for one car [kg_H2/car*year]</t>
  </si>
  <si>
    <t>Total hydrogen demand [kg_H2/year]</t>
  </si>
  <si>
    <t>Number of of fill up in one year</t>
  </si>
  <si>
    <t>Bus [km/y]</t>
  </si>
  <si>
    <t>Number of cars</t>
  </si>
  <si>
    <t>Hydrogen demand</t>
  </si>
  <si>
    <t>Total amount of hydrogen that i need [kg/y]</t>
  </si>
  <si>
    <t>Capacity [days]</t>
  </si>
  <si>
    <t>Total cost [M€]</t>
  </si>
  <si>
    <t>i costi mettili a parte</t>
  </si>
  <si>
    <t>Number of unit installed</t>
  </si>
  <si>
    <t>Capacity at nominal load [kg/h]</t>
  </si>
  <si>
    <t>Energy consumption [kWh/kg]</t>
  </si>
  <si>
    <t>Water consumed [m^3/y]</t>
  </si>
  <si>
    <t>CO2 produced [ton/y]</t>
  </si>
  <si>
    <t>Tabelle per tesi</t>
  </si>
  <si>
    <t>aggiungi ai costi nellultimo foglio</t>
  </si>
  <si>
    <t>Main Value</t>
  </si>
  <si>
    <t>[kg/y]</t>
  </si>
  <si>
    <t>[ton/y]</t>
  </si>
  <si>
    <t xml:space="preserve">Water consumed </t>
  </si>
  <si>
    <t xml:space="preserve">CO2 produced </t>
  </si>
  <si>
    <t xml:space="preserve">Methanol consumed </t>
  </si>
  <si>
    <t xml:space="preserve">Hydrogen produced </t>
  </si>
  <si>
    <t>Stored product</t>
  </si>
  <si>
    <t>[l/d]</t>
  </si>
  <si>
    <t>[kg/dm^3]</t>
  </si>
  <si>
    <t>[euro/ton]</t>
  </si>
  <si>
    <t>[days]</t>
  </si>
  <si>
    <t>[l]</t>
  </si>
  <si>
    <t xml:space="preserve">Storage tank capacity </t>
  </si>
  <si>
    <t xml:space="preserve">Bio-methanol cost </t>
  </si>
  <si>
    <t xml:space="preserve">Methanol density </t>
  </si>
  <si>
    <t xml:space="preserve">Methanol consumed each day </t>
  </si>
  <si>
    <r>
      <t>prezzo elettricità [</t>
    </r>
    <r>
      <rPr>
        <sz val="11"/>
        <color theme="1"/>
        <rFont val="Calibri"/>
        <family val="2"/>
      </rPr>
      <t>€</t>
    </r>
    <r>
      <rPr>
        <sz val="8.15"/>
        <color theme="1"/>
        <rFont val="Calibri"/>
        <family val="2"/>
      </rPr>
      <t>/MWh]</t>
    </r>
    <r>
      <rPr>
        <sz val="11"/>
        <color theme="1"/>
        <rFont val="Calibri"/>
        <family val="2"/>
        <scheme val="minor"/>
      </rPr>
      <t xml:space="preserve"> </t>
    </r>
  </si>
  <si>
    <t>addiungi elettricità al grafico a torta</t>
  </si>
  <si>
    <t>Electricity cost [M€/y]</t>
  </si>
  <si>
    <t>METHANOL COST [M€/y]</t>
  </si>
  <si>
    <t>guarda report</t>
  </si>
  <si>
    <t>opex tot</t>
  </si>
  <si>
    <t>LCOH</t>
  </si>
  <si>
    <r>
      <t>[M</t>
    </r>
    <r>
      <rPr>
        <sz val="11"/>
        <color theme="1"/>
        <rFont val="Calibri"/>
        <family val="2"/>
      </rPr>
      <t>€</t>
    </r>
    <r>
      <rPr>
        <sz val="11"/>
        <color theme="1"/>
        <rFont val="Calibri"/>
        <family val="2"/>
        <scheme val="minor"/>
      </rPr>
      <t>]</t>
    </r>
  </si>
  <si>
    <t>[M€]</t>
  </si>
  <si>
    <t xml:space="preserve">Hydrogen storage cost </t>
  </si>
  <si>
    <t>[€/kg]</t>
  </si>
  <si>
    <t>CO2 storage cost</t>
  </si>
  <si>
    <t>[€/compressor]</t>
  </si>
  <si>
    <t>One unit compressor cost</t>
  </si>
  <si>
    <t xml:space="preserve">Maintenaince </t>
  </si>
  <si>
    <t>Storage</t>
  </si>
  <si>
    <t xml:space="preserve">Total hydrogen storage cost </t>
  </si>
  <si>
    <t xml:space="preserve">Total  CO2 cost </t>
  </si>
  <si>
    <t xml:space="preserve">Total compressor cost </t>
  </si>
  <si>
    <t>Hydrogen produced each hour</t>
  </si>
  <si>
    <t xml:space="preserve"> [kg_H2/h]</t>
  </si>
  <si>
    <t xml:space="preserve">Hydrogen produced each day </t>
  </si>
  <si>
    <t>[kg/d]</t>
  </si>
  <si>
    <t>[kg/5d]</t>
  </si>
  <si>
    <t xml:space="preserve">Hydrogen produced each 5 days </t>
  </si>
  <si>
    <t>mass flow rate</t>
  </si>
  <si>
    <t>ELECTRICITY COST [M€/y]</t>
  </si>
  <si>
    <t>Total cost</t>
  </si>
  <si>
    <t>Methanol storage cost</t>
  </si>
  <si>
    <t>Methanol cost</t>
  </si>
  <si>
    <t>[M€/y]</t>
  </si>
  <si>
    <t>Hydrogen storage cost</t>
  </si>
  <si>
    <t>Compressor cost</t>
  </si>
  <si>
    <t>Compressor maintenaince cost</t>
  </si>
  <si>
    <t>Electrolyser cost</t>
  </si>
  <si>
    <t>Electrolyser maintenaince cost</t>
  </si>
  <si>
    <t>Electrolyser decomminsioning cost</t>
  </si>
  <si>
    <t>Electrolyser substitution cost</t>
  </si>
  <si>
    <t>Total electricity cost</t>
  </si>
  <si>
    <t>somma H2 attualizzato</t>
  </si>
  <si>
    <t>LCOH 2</t>
  </si>
  <si>
    <t>opex nuovo</t>
  </si>
  <si>
    <t>LCOH 3</t>
  </si>
  <si>
    <t>Capex 1</t>
  </si>
  <si>
    <t>LCOH 1</t>
  </si>
  <si>
    <t>OPEX 2</t>
  </si>
  <si>
    <t>CAPEX 2</t>
  </si>
  <si>
    <t>hydrogeno prodotto attualizzato 2</t>
  </si>
  <si>
    <t>Power installed [kW]</t>
  </si>
  <si>
    <t>costo al kW</t>
  </si>
  <si>
    <t>kWh used</t>
  </si>
  <si>
    <t>km/45kg H2</t>
  </si>
  <si>
    <t>kg</t>
  </si>
  <si>
    <t xml:space="preserve">Total amount of hydrogen that i need for one bus </t>
  </si>
  <si>
    <t>kg_H2/bus*year</t>
  </si>
  <si>
    <t>kg_H2/year</t>
  </si>
  <si>
    <t xml:space="preserve">Hydrogen bus demand </t>
  </si>
  <si>
    <t>km/5,6 kg H2</t>
  </si>
  <si>
    <t xml:space="preserve">Car </t>
  </si>
  <si>
    <t xml:space="preserve">Full tank car capacity </t>
  </si>
  <si>
    <t xml:space="preserve">Current density </t>
  </si>
  <si>
    <t xml:space="preserve">Power </t>
  </si>
  <si>
    <t xml:space="preserve">Energy consumed </t>
  </si>
  <si>
    <t xml:space="preserve"> [MW]</t>
  </si>
  <si>
    <t>Old curve</t>
  </si>
  <si>
    <t>0.94</t>
  </si>
  <si>
    <t>New curve</t>
  </si>
  <si>
    <t>6442.05</t>
  </si>
  <si>
    <t>0.74</t>
  </si>
  <si>
    <t>Efficiency</t>
  </si>
  <si>
    <t>Electricity price</t>
  </si>
  <si>
    <t>[Electricity price]</t>
  </si>
  <si>
    <t>[LCOH]</t>
  </si>
  <si>
    <t>0.08</t>
  </si>
  <si>
    <t>11.69</t>
  </si>
  <si>
    <t>16.61</t>
  </si>
  <si>
    <t>11.09</t>
  </si>
  <si>
    <t>0.12</t>
  </si>
  <si>
    <t>12.41</t>
  </si>
  <si>
    <t>17.7</t>
  </si>
  <si>
    <t>11.82</t>
  </si>
  <si>
    <t>0.16</t>
  </si>
  <si>
    <t>13.13</t>
  </si>
  <si>
    <t>18.78</t>
  </si>
  <si>
    <t>12.55</t>
  </si>
  <si>
    <t>0.20</t>
  </si>
  <si>
    <t>13.86</t>
  </si>
  <si>
    <t>19.86</t>
  </si>
  <si>
    <t>13.27</t>
  </si>
  <si>
    <t>0.24</t>
  </si>
  <si>
    <t>14.58</t>
  </si>
  <si>
    <t>20.94</t>
  </si>
  <si>
    <t>13.99</t>
  </si>
  <si>
    <t>0.28</t>
  </si>
  <si>
    <t>15.31</t>
  </si>
  <si>
    <t>22.03</t>
  </si>
  <si>
    <t>14.72</t>
  </si>
  <si>
    <t>0.32</t>
  </si>
  <si>
    <t>16.03</t>
  </si>
  <si>
    <t>23.11</t>
  </si>
  <si>
    <t>15.44</t>
  </si>
  <si>
    <t>0.36</t>
  </si>
  <si>
    <t>16.76</t>
  </si>
  <si>
    <t>24.20</t>
  </si>
  <si>
    <t>16.16</t>
  </si>
  <si>
    <t>0.40</t>
  </si>
  <si>
    <t>17.48</t>
  </si>
  <si>
    <t>25.29</t>
  </si>
  <si>
    <t>16.89</t>
  </si>
  <si>
    <t>0.44</t>
  </si>
  <si>
    <t>18.21</t>
  </si>
  <si>
    <t>26.37</t>
  </si>
  <si>
    <t>17.62</t>
  </si>
  <si>
    <r>
      <t>LCOH</t>
    </r>
    <r>
      <rPr>
        <b/>
        <vertAlign val="subscript"/>
        <sz val="11"/>
        <rFont val="Times New Roman"/>
        <family val="1"/>
      </rPr>
      <t>1</t>
    </r>
  </si>
  <si>
    <r>
      <t>LCOH</t>
    </r>
    <r>
      <rPr>
        <b/>
        <vertAlign val="subscript"/>
        <sz val="11"/>
        <rFont val="Times New Roman"/>
        <family val="1"/>
      </rPr>
      <t>2</t>
    </r>
  </si>
  <si>
    <r>
      <t>LCOH</t>
    </r>
    <r>
      <rPr>
        <b/>
        <vertAlign val="subscript"/>
        <sz val="11"/>
        <rFont val="Times New Roman"/>
        <family val="1"/>
      </rPr>
      <t>3</t>
    </r>
  </si>
  <si>
    <t>Unit of measurement</t>
  </si>
  <si>
    <t>Temperature [°C]</t>
  </si>
  <si>
    <t>30-40-50-60-70-80</t>
  </si>
  <si>
    <t>30-50-70</t>
  </si>
  <si>
    <t>25-40-55-70-85</t>
  </si>
  <si>
    <t>30-40-50-60-70</t>
  </si>
  <si>
    <t>Not mentioned</t>
  </si>
  <si>
    <t>Molarity [M]</t>
  </si>
  <si>
    <t>0-1-2-6-16</t>
  </si>
  <si>
    <t>0,5-1-2-5-10</t>
  </si>
  <si>
    <t>1-2-3-4</t>
  </si>
  <si>
    <t>Membrane</t>
  </si>
  <si>
    <t>Nafion 117</t>
  </si>
  <si>
    <t>Nafion 115</t>
  </si>
  <si>
    <t>Cathode</t>
  </si>
  <si>
    <t xml:space="preserve">Pt/C </t>
  </si>
  <si>
    <t>Pt black/C</t>
  </si>
  <si>
    <t>Anode</t>
  </si>
  <si>
    <t>PtRu/C</t>
  </si>
  <si>
    <t xml:space="preserve">Volumetric flow rate </t>
  </si>
  <si>
    <r>
      <t>IrO</t>
    </r>
    <r>
      <rPr>
        <vertAlign val="subscript"/>
        <sz val="11"/>
        <color rgb="FF000000"/>
        <rFont val="Times New Roman"/>
        <family val="1"/>
      </rPr>
      <t>2</t>
    </r>
    <r>
      <rPr>
        <sz val="11"/>
        <color rgb="FF000000"/>
        <rFont val="Times New Roman"/>
        <family val="1"/>
      </rPr>
      <t>/C</t>
    </r>
  </si>
  <si>
    <r>
      <t>Active area [cm</t>
    </r>
    <r>
      <rPr>
        <b/>
        <vertAlign val="superscript"/>
        <sz val="11"/>
        <color rgb="FF000000"/>
        <rFont val="Times New Roman"/>
        <family val="1"/>
      </rPr>
      <t>2</t>
    </r>
    <r>
      <rPr>
        <b/>
        <sz val="11"/>
        <color rgb="FF000000"/>
        <rFont val="Times New Roman"/>
        <family val="1"/>
      </rPr>
      <t>]</t>
    </r>
  </si>
  <si>
    <t xml:space="preserve">Anode </t>
  </si>
  <si>
    <t xml:space="preserve">Cathode </t>
  </si>
  <si>
    <t xml:space="preserve">Reference </t>
  </si>
  <si>
    <t>Anode catalyst</t>
  </si>
  <si>
    <t>Cathode catalyst</t>
  </si>
  <si>
    <t>Reference</t>
  </si>
  <si>
    <t>Pt/C</t>
  </si>
  <si>
    <t>Nafion117</t>
  </si>
  <si>
    <t>[39]</t>
  </si>
  <si>
    <t>[40]</t>
  </si>
  <si>
    <t>[41]</t>
  </si>
  <si>
    <t>40% Pt–Ru/C</t>
  </si>
  <si>
    <t>20% Pt/C</t>
  </si>
  <si>
    <t>[38]</t>
  </si>
  <si>
    <t>Pt–Ru (1:1) black</t>
  </si>
  <si>
    <t>Pt black</t>
  </si>
  <si>
    <t>Nafion115</t>
  </si>
  <si>
    <t>[42]</t>
  </si>
  <si>
    <t>50% Pt–Ru/C</t>
  </si>
  <si>
    <t>50% Pt/C</t>
  </si>
  <si>
    <t>[43]</t>
  </si>
  <si>
    <t>[44]</t>
  </si>
  <si>
    <t>n</t>
  </si>
  <si>
    <t>eccesso</t>
  </si>
  <si>
    <t>BEST POLARIZATION new CURVE 70°C-1M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</si>
</sst>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
    <numFmt numFmtId="165" formatCode="0.0000"/>
    <numFmt numFmtId="166" formatCode="0.0"/>
    <numFmt numFmtId="167" formatCode="_-* #,##0.000_-;\-* #,##0.000_-;_-* &quot;-&quot;??_-;_-@_-"/>
  </numFmts>
  <fonts count="22" x14ac:knownFonts="1">
    <font>
      <sz val="11"/>
      <color theme="1"/>
      <name val="Calibri"/>
      <family val="2"/>
      <scheme val="minor"/>
    </font>
    <font>
      <b/>
      <sz val="11"/>
      <color theme="1"/>
      <name val="Calibri"/>
      <family val="2"/>
      <scheme val="minor"/>
    </font>
    <font>
      <sz val="11"/>
      <color theme="1"/>
      <name val="Calibri"/>
      <family val="2"/>
    </font>
    <font>
      <u/>
      <sz val="11"/>
      <color theme="10"/>
      <name val="Calibri"/>
      <family val="2"/>
      <scheme val="minor"/>
    </font>
    <font>
      <b/>
      <sz val="11"/>
      <color theme="1"/>
      <name val="Calibri"/>
      <family val="2"/>
    </font>
    <font>
      <b/>
      <sz val="10.65"/>
      <color theme="1"/>
      <name val="Calibri"/>
      <family val="2"/>
    </font>
    <font>
      <sz val="10"/>
      <color theme="1"/>
      <name val="Calibri"/>
      <family val="2"/>
      <scheme val="minor"/>
    </font>
    <font>
      <b/>
      <sz val="20"/>
      <color theme="1"/>
      <name val="Calibri"/>
      <family val="2"/>
      <scheme val="minor"/>
    </font>
    <font>
      <sz val="8.15"/>
      <color theme="1"/>
      <name val="Calibri"/>
      <family val="2"/>
    </font>
    <font>
      <sz val="11"/>
      <name val="Calibri"/>
      <family val="2"/>
      <scheme val="minor"/>
    </font>
    <font>
      <b/>
      <sz val="11"/>
      <name val="Calibri"/>
      <family val="2"/>
      <scheme val="minor"/>
    </font>
    <font>
      <sz val="20"/>
      <color theme="1"/>
      <name val="Calibri"/>
      <family val="2"/>
      <scheme val="minor"/>
    </font>
    <font>
      <sz val="11"/>
      <color theme="1"/>
      <name val="Calibri"/>
      <family val="2"/>
      <scheme val="minor"/>
    </font>
    <font>
      <b/>
      <sz val="11"/>
      <name val="Times New Roman"/>
      <family val="1"/>
    </font>
    <font>
      <b/>
      <vertAlign val="subscript"/>
      <sz val="11"/>
      <name val="Times New Roman"/>
      <family val="1"/>
    </font>
    <font>
      <sz val="11"/>
      <name val="Times New Roman"/>
      <family val="1"/>
    </font>
    <font>
      <b/>
      <sz val="11"/>
      <color rgb="FF000000"/>
      <name val="Times New Roman"/>
      <family val="1"/>
    </font>
    <font>
      <sz val="11"/>
      <color rgb="FF000000"/>
      <name val="Times New Roman"/>
      <family val="1"/>
    </font>
    <font>
      <vertAlign val="subscript"/>
      <sz val="11"/>
      <color rgb="FF000000"/>
      <name val="Times New Roman"/>
      <family val="1"/>
    </font>
    <font>
      <b/>
      <vertAlign val="superscript"/>
      <sz val="11"/>
      <color rgb="FF000000"/>
      <name val="Times New Roman"/>
      <family val="1"/>
    </font>
    <font>
      <b/>
      <sz val="11"/>
      <color rgb="FF000000"/>
      <name val="Calibri"/>
      <family val="2"/>
    </font>
    <font>
      <sz val="11"/>
      <color rgb="FF000000"/>
      <name val="Calibri"/>
      <family val="2"/>
    </font>
  </fonts>
  <fills count="12">
    <fill>
      <patternFill patternType="none"/>
    </fill>
    <fill>
      <patternFill patternType="gray125"/>
    </fill>
    <fill>
      <patternFill patternType="solid">
        <fgColor rgb="FFFFFF00"/>
        <bgColor indexed="64"/>
      </patternFill>
    </fill>
    <fill>
      <patternFill patternType="solid">
        <fgColor theme="9" tint="0.79998168889431442"/>
        <bgColor theme="9" tint="0.79998168889431442"/>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theme="9" tint="0.39997558519241921"/>
      </top>
      <bottom style="thin">
        <color theme="9" tint="0.39997558519241921"/>
      </bottom>
      <diagonal/>
    </border>
    <border>
      <left style="thin">
        <color theme="9" tint="0.39997558519241921"/>
      </left>
      <right/>
      <top/>
      <bottom style="thin">
        <color theme="9" tint="0.39997558519241921"/>
      </bottom>
      <diagonal/>
    </border>
    <border>
      <left style="medium">
        <color indexed="64"/>
      </left>
      <right style="medium">
        <color indexed="64"/>
      </right>
      <top style="medium">
        <color indexed="64"/>
      </top>
      <bottom style="thin">
        <color theme="9" tint="0.39997558519241921"/>
      </bottom>
      <diagonal/>
    </border>
    <border>
      <left style="medium">
        <color indexed="64"/>
      </left>
      <right style="medium">
        <color indexed="64"/>
      </right>
      <top style="thin">
        <color theme="9" tint="0.39997558519241921"/>
      </top>
      <bottom style="thin">
        <color theme="9" tint="0.39997558519241921"/>
      </bottom>
      <diagonal/>
    </border>
    <border>
      <left style="medium">
        <color indexed="64"/>
      </left>
      <right style="medium">
        <color indexed="64"/>
      </right>
      <top style="thin">
        <color theme="9" tint="0.39997558519241921"/>
      </top>
      <bottom style="medium">
        <color indexed="64"/>
      </bottom>
      <diagonal/>
    </border>
    <border>
      <left/>
      <right/>
      <top style="medium">
        <color indexed="64"/>
      </top>
      <bottom/>
      <diagonal/>
    </border>
  </borders>
  <cellStyleXfs count="3">
    <xf numFmtId="0" fontId="0" fillId="0" borderId="0"/>
    <xf numFmtId="0" fontId="3" fillId="0" borderId="0" applyNumberFormat="0" applyFill="0" applyBorder="0" applyAlignment="0" applyProtection="0"/>
    <xf numFmtId="43" fontId="12" fillId="0" borderId="0" applyFont="0" applyFill="0" applyBorder="0" applyAlignment="0" applyProtection="0"/>
  </cellStyleXfs>
  <cellXfs count="364">
    <xf numFmtId="0" fontId="0" fillId="0" borderId="0" xfId="0"/>
    <xf numFmtId="0" fontId="0" fillId="0" borderId="0" xfId="0"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4" xfId="0" applyBorder="1"/>
    <xf numFmtId="0" fontId="0" fillId="0" borderId="5" xfId="0" applyBorder="1"/>
    <xf numFmtId="0" fontId="0" fillId="0" borderId="13" xfId="0" applyBorder="1"/>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8" xfId="0" applyBorder="1"/>
    <xf numFmtId="0" fontId="0" fillId="3" borderId="15" xfId="0" applyFill="1" applyBorder="1"/>
    <xf numFmtId="0" fontId="0" fillId="0" borderId="6" xfId="0" applyBorder="1"/>
    <xf numFmtId="0" fontId="0" fillId="0" borderId="14" xfId="0" applyBorder="1"/>
    <xf numFmtId="0" fontId="1" fillId="0" borderId="9" xfId="0" applyFont="1" applyBorder="1"/>
    <xf numFmtId="0" fontId="1" fillId="0" borderId="1" xfId="0" applyFont="1" applyBorder="1"/>
    <xf numFmtId="0" fontId="1" fillId="0" borderId="10" xfId="0" applyFont="1" applyBorder="1"/>
    <xf numFmtId="0" fontId="1" fillId="0" borderId="11" xfId="0" applyFont="1" applyBorder="1"/>
    <xf numFmtId="0" fontId="0" fillId="0" borderId="12" xfId="0" applyBorder="1"/>
    <xf numFmtId="0" fontId="0" fillId="0" borderId="11" xfId="0" applyBorder="1" applyAlignment="1">
      <alignment horizontal="center" vertical="center" wrapText="1"/>
    </xf>
    <xf numFmtId="0" fontId="0" fillId="2" borderId="9" xfId="0" applyFill="1" applyBorder="1" applyAlignment="1">
      <alignment horizontal="center" vertical="center" wrapText="1"/>
    </xf>
    <xf numFmtId="0" fontId="0" fillId="0" borderId="2" xfId="0" applyBorder="1"/>
    <xf numFmtId="0" fontId="0" fillId="0" borderId="3" xfId="0" applyBorder="1"/>
    <xf numFmtId="0" fontId="0" fillId="0" borderId="1" xfId="0" applyBorder="1"/>
    <xf numFmtId="0" fontId="0" fillId="0" borderId="9" xfId="0" applyBorder="1"/>
    <xf numFmtId="0" fontId="0" fillId="0" borderId="11" xfId="0" applyBorder="1"/>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0" borderId="0" xfId="0" applyAlignment="1">
      <alignment horizontal="center" vertical="center" wrapText="1"/>
    </xf>
    <xf numFmtId="0" fontId="0" fillId="2" borderId="0" xfId="0" applyFill="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xf>
    <xf numFmtId="0" fontId="0" fillId="0" borderId="10" xfId="0" applyBorder="1" applyAlignment="1">
      <alignment horizontal="center" vertical="center" wrapText="1"/>
    </xf>
    <xf numFmtId="0" fontId="0" fillId="0" borderId="0" xfId="0" applyAlignment="1">
      <alignment vertical="center"/>
    </xf>
    <xf numFmtId="0" fontId="0" fillId="0" borderId="6" xfId="0"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xf>
    <xf numFmtId="0" fontId="0" fillId="4" borderId="0" xfId="0" applyFill="1"/>
    <xf numFmtId="0" fontId="0" fillId="5" borderId="0" xfId="0" applyFill="1"/>
    <xf numFmtId="0" fontId="0" fillId="6" borderId="5" xfId="0" applyFill="1" applyBorder="1"/>
    <xf numFmtId="0" fontId="0" fillId="6" borderId="0" xfId="0" applyFill="1"/>
    <xf numFmtId="0" fontId="0" fillId="7" borderId="5" xfId="0" applyFill="1" applyBorder="1"/>
    <xf numFmtId="0" fontId="0" fillId="8" borderId="5" xfId="0" applyFill="1" applyBorder="1"/>
    <xf numFmtId="0" fontId="0" fillId="8" borderId="0" xfId="0" applyFill="1"/>
    <xf numFmtId="0" fontId="0" fillId="7" borderId="0" xfId="0" applyFill="1"/>
    <xf numFmtId="0" fontId="0" fillId="8" borderId="3" xfId="0" applyFill="1" applyBorder="1"/>
    <xf numFmtId="0" fontId="0" fillId="4" borderId="5" xfId="0" applyFill="1" applyBorder="1"/>
    <xf numFmtId="0" fontId="0" fillId="5" borderId="5" xfId="0" applyFill="1" applyBorder="1"/>
    <xf numFmtId="0" fontId="0" fillId="0" borderId="12" xfId="0" applyBorder="1" applyAlignment="1">
      <alignment horizontal="center" vertical="center"/>
    </xf>
    <xf numFmtId="0" fontId="0" fillId="0" borderId="14" xfId="0" applyBorder="1" applyAlignment="1">
      <alignment horizontal="center" vertical="center"/>
    </xf>
    <xf numFmtId="0" fontId="3" fillId="0" borderId="4" xfId="1" applyBorder="1" applyAlignment="1">
      <alignment horizontal="center" wrapText="1"/>
    </xf>
    <xf numFmtId="0" fontId="0" fillId="0" borderId="13" xfId="0" applyBorder="1" applyAlignment="1">
      <alignment horizontal="center" vertical="center"/>
    </xf>
    <xf numFmtId="0" fontId="0" fillId="0" borderId="20" xfId="0" applyBorder="1"/>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2" borderId="0" xfId="0" applyFill="1"/>
    <xf numFmtId="0" fontId="3" fillId="0" borderId="0" xfId="1" applyAlignment="1">
      <alignment horizontal="center" wrapText="1"/>
    </xf>
    <xf numFmtId="0" fontId="0" fillId="2" borderId="0" xfId="0" applyFill="1" applyAlignment="1">
      <alignment horizontal="center" wrapText="1"/>
    </xf>
    <xf numFmtId="0" fontId="0" fillId="0" borderId="0" xfId="0" applyAlignment="1">
      <alignment wrapText="1"/>
    </xf>
    <xf numFmtId="0" fontId="0" fillId="8" borderId="0" xfId="0" applyFill="1" applyAlignment="1">
      <alignment horizontal="center" vertical="center" wrapText="1"/>
    </xf>
    <xf numFmtId="0" fontId="1" fillId="2" borderId="0" xfId="0" applyFont="1" applyFill="1" applyAlignment="1">
      <alignment horizontal="center"/>
    </xf>
    <xf numFmtId="0" fontId="0" fillId="0" borderId="0" xfId="0" applyAlignment="1">
      <alignment horizontal="center"/>
    </xf>
    <xf numFmtId="0" fontId="6" fillId="0" borderId="0" xfId="0" applyFont="1" applyAlignment="1">
      <alignment wrapText="1"/>
    </xf>
    <xf numFmtId="0" fontId="3" fillId="0" borderId="0" xfId="1" applyAlignment="1">
      <alignment horizontal="center" vertical="center" wrapText="1"/>
    </xf>
    <xf numFmtId="0" fontId="1" fillId="0" borderId="1" xfId="0" applyFont="1" applyBorder="1" applyAlignment="1">
      <alignment horizontal="center" vertical="center" wrapText="1"/>
    </xf>
    <xf numFmtId="0" fontId="0" fillId="0" borderId="2" xfId="0" applyBorder="1" applyAlignment="1">
      <alignment horizontal="center" wrapText="1"/>
    </xf>
    <xf numFmtId="0" fontId="0" fillId="0" borderId="8" xfId="0" applyBorder="1" applyAlignment="1">
      <alignment horizontal="center"/>
    </xf>
    <xf numFmtId="0" fontId="0" fillId="6" borderId="9" xfId="0" applyFill="1" applyBorder="1" applyAlignment="1">
      <alignment horizontal="center" wrapText="1"/>
    </xf>
    <xf numFmtId="0" fontId="0" fillId="6" borderId="11" xfId="0" applyFill="1" applyBorder="1" applyAlignment="1">
      <alignment horizontal="center" wrapTex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 fillId="0" borderId="0" xfId="0" applyFont="1" applyAlignment="1">
      <alignment horizontal="center"/>
    </xf>
    <xf numFmtId="0" fontId="0" fillId="2" borderId="0" xfId="0" applyFill="1" applyAlignment="1">
      <alignment horizontal="center" vertical="center"/>
    </xf>
    <xf numFmtId="0" fontId="0" fillId="0" borderId="3" xfId="0" applyBorder="1" applyAlignment="1">
      <alignment horizontal="center" vertical="center" wrapText="1"/>
    </xf>
    <xf numFmtId="0" fontId="0" fillId="0" borderId="6" xfId="0" applyBorder="1" applyAlignment="1">
      <alignment horizontal="center" vertical="center"/>
    </xf>
    <xf numFmtId="0" fontId="1" fillId="5" borderId="1" xfId="0" applyFont="1" applyFill="1" applyBorder="1" applyAlignment="1">
      <alignment horizontal="center"/>
    </xf>
    <xf numFmtId="0" fontId="1" fillId="5" borderId="11" xfId="0" applyFont="1" applyFill="1" applyBorder="1" applyAlignment="1">
      <alignment horizontal="center"/>
    </xf>
    <xf numFmtId="0" fontId="1" fillId="5" borderId="9" xfId="0" applyFont="1" applyFill="1" applyBorder="1" applyAlignment="1">
      <alignment horizontal="center"/>
    </xf>
    <xf numFmtId="0" fontId="1" fillId="5" borderId="10" xfId="0" applyFont="1" applyFill="1" applyBorder="1" applyAlignment="1">
      <alignment horizontal="center"/>
    </xf>
    <xf numFmtId="0" fontId="0" fillId="5" borderId="0" xfId="0" applyFill="1" applyAlignment="1">
      <alignment horizontal="center"/>
    </xf>
    <xf numFmtId="0" fontId="1" fillId="5" borderId="0" xfId="0" applyFont="1" applyFill="1" applyAlignment="1">
      <alignment horizontal="center"/>
    </xf>
    <xf numFmtId="0" fontId="1" fillId="0" borderId="11" xfId="0" applyFont="1" applyBorder="1" applyAlignment="1">
      <alignment horizontal="center" vertical="center"/>
    </xf>
    <xf numFmtId="164" fontId="0" fillId="0" borderId="1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1" fillId="0" borderId="3" xfId="0" applyFont="1"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11" borderId="12" xfId="0" applyFill="1" applyBorder="1" applyAlignment="1">
      <alignment horizontal="center"/>
    </xf>
    <xf numFmtId="164" fontId="0" fillId="0" borderId="13" xfId="0" applyNumberFormat="1" applyBorder="1" applyAlignment="1">
      <alignment horizontal="center"/>
    </xf>
    <xf numFmtId="164" fontId="0" fillId="0" borderId="5" xfId="0" applyNumberFormat="1" applyBorder="1" applyAlignment="1">
      <alignment horizontal="center"/>
    </xf>
    <xf numFmtId="0" fontId="0" fillId="0" borderId="5" xfId="0" applyBorder="1" applyAlignment="1">
      <alignment horizontal="center"/>
    </xf>
    <xf numFmtId="0" fontId="1" fillId="0" borderId="5" xfId="0" applyFont="1" applyBorder="1" applyAlignment="1">
      <alignment horizontal="center"/>
    </xf>
    <xf numFmtId="0" fontId="0" fillId="0" borderId="4" xfId="0" applyBorder="1" applyAlignment="1">
      <alignment horizontal="center"/>
    </xf>
    <xf numFmtId="0" fontId="0" fillId="11" borderId="13" xfId="0" applyFill="1" applyBorder="1" applyAlignment="1">
      <alignment horizontal="center"/>
    </xf>
    <xf numFmtId="164" fontId="0" fillId="0" borderId="8" xfId="0" applyNumberFormat="1" applyBorder="1" applyAlignment="1">
      <alignment horizontal="center"/>
    </xf>
    <xf numFmtId="164" fontId="0" fillId="0" borderId="6" xfId="0" applyNumberFormat="1" applyBorder="1" applyAlignment="1">
      <alignment horizontal="center"/>
    </xf>
    <xf numFmtId="0" fontId="0" fillId="0" borderId="6" xfId="0" applyBorder="1" applyAlignment="1">
      <alignment horizontal="center"/>
    </xf>
    <xf numFmtId="0" fontId="0" fillId="11" borderId="14" xfId="0" applyFill="1" applyBorder="1" applyAlignment="1">
      <alignment horizontal="center"/>
    </xf>
    <xf numFmtId="164" fontId="0" fillId="0" borderId="0" xfId="0" applyNumberFormat="1" applyAlignment="1">
      <alignment horizontal="center"/>
    </xf>
    <xf numFmtId="164" fontId="0" fillId="0" borderId="14" xfId="0" applyNumberFormat="1"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xf>
    <xf numFmtId="0" fontId="1" fillId="5" borderId="12" xfId="0" applyFont="1" applyFill="1" applyBorder="1"/>
    <xf numFmtId="165" fontId="0" fillId="0" borderId="0" xfId="0" applyNumberFormat="1"/>
    <xf numFmtId="164" fontId="0" fillId="0" borderId="0" xfId="0" applyNumberFormat="1"/>
    <xf numFmtId="2" fontId="0" fillId="0" borderId="13" xfId="0" applyNumberFormat="1" applyBorder="1" applyAlignment="1">
      <alignment horizontal="center" vertical="center"/>
    </xf>
    <xf numFmtId="166" fontId="0" fillId="0" borderId="14" xfId="0" applyNumberFormat="1" applyBorder="1" applyAlignment="1">
      <alignment horizontal="center" vertical="center" wrapText="1"/>
    </xf>
    <xf numFmtId="0" fontId="10"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5" fontId="0" fillId="0" borderId="12" xfId="0" applyNumberFormat="1" applyBorder="1" applyAlignment="1">
      <alignment horizontal="center" vertical="center"/>
    </xf>
    <xf numFmtId="0" fontId="0" fillId="0" borderId="5" xfId="0" applyBorder="1" applyAlignment="1">
      <alignment horizontal="center" vertical="center"/>
    </xf>
    <xf numFmtId="164" fontId="0" fillId="0" borderId="5" xfId="0" applyNumberFormat="1" applyBorder="1" applyAlignment="1">
      <alignment horizontal="center" vertical="center"/>
    </xf>
    <xf numFmtId="164" fontId="0" fillId="0" borderId="8" xfId="0" applyNumberFormat="1" applyBorder="1" applyAlignment="1">
      <alignment horizontal="center" vertical="center"/>
    </xf>
    <xf numFmtId="0" fontId="1" fillId="5" borderId="12" xfId="0" applyFont="1" applyFill="1" applyBorder="1" applyAlignment="1">
      <alignment horizontal="center"/>
    </xf>
    <xf numFmtId="0" fontId="1" fillId="5" borderId="5" xfId="0" applyFont="1" applyFill="1" applyBorder="1" applyAlignment="1">
      <alignment horizontal="center"/>
    </xf>
    <xf numFmtId="0" fontId="1" fillId="5" borderId="2" xfId="0" applyFont="1" applyFill="1" applyBorder="1"/>
    <xf numFmtId="0" fontId="2" fillId="0" borderId="4" xfId="0" applyFont="1" applyBorder="1"/>
    <xf numFmtId="0" fontId="9" fillId="0" borderId="0" xfId="0" applyFont="1" applyAlignment="1">
      <alignment wrapText="1"/>
    </xf>
    <xf numFmtId="0" fontId="2" fillId="0" borderId="6" xfId="0" applyFont="1" applyBorder="1"/>
    <xf numFmtId="166" fontId="9" fillId="0" borderId="12" xfId="0" applyNumberFormat="1" applyFont="1" applyBorder="1" applyAlignment="1">
      <alignment wrapText="1"/>
    </xf>
    <xf numFmtId="0" fontId="9" fillId="0" borderId="13" xfId="0" applyFont="1" applyBorder="1" applyAlignment="1">
      <alignment wrapText="1"/>
    </xf>
    <xf numFmtId="165" fontId="0" fillId="0" borderId="14" xfId="0" applyNumberFormat="1" applyBorder="1"/>
    <xf numFmtId="164" fontId="0" fillId="0" borderId="12" xfId="0" applyNumberFormat="1" applyBorder="1"/>
    <xf numFmtId="164" fontId="0" fillId="0" borderId="13" xfId="0" applyNumberFormat="1" applyBorder="1"/>
    <xf numFmtId="164" fontId="0" fillId="0" borderId="14" xfId="0" applyNumberFormat="1" applyBorder="1"/>
    <xf numFmtId="164" fontId="0" fillId="0" borderId="1" xfId="0" applyNumberFormat="1" applyBorder="1"/>
    <xf numFmtId="164" fontId="0" fillId="0" borderId="3" xfId="0" applyNumberFormat="1" applyBorder="1"/>
    <xf numFmtId="0" fontId="10" fillId="5" borderId="14" xfId="0" applyFont="1" applyFill="1" applyBorder="1" applyAlignment="1">
      <alignment horizontal="center" vertical="center" wrapText="1"/>
    </xf>
    <xf numFmtId="0" fontId="1" fillId="5" borderId="11" xfId="0" applyFont="1" applyFill="1" applyBorder="1"/>
    <xf numFmtId="0" fontId="0" fillId="10" borderId="9" xfId="0" applyFill="1" applyBorder="1" applyAlignment="1">
      <alignment horizontal="center" vertical="center" wrapText="1"/>
    </xf>
    <xf numFmtId="165" fontId="0" fillId="0" borderId="13" xfId="0" applyNumberFormat="1" applyBorder="1"/>
    <xf numFmtId="0" fontId="10" fillId="0" borderId="1" xfId="0" applyFont="1" applyBorder="1" applyAlignment="1">
      <alignment horizontal="center" vertical="center" wrapText="1"/>
    </xf>
    <xf numFmtId="0" fontId="1" fillId="10" borderId="2" xfId="0" applyFont="1" applyFill="1" applyBorder="1"/>
    <xf numFmtId="0" fontId="1" fillId="10" borderId="4" xfId="0" applyFont="1" applyFill="1" applyBorder="1"/>
    <xf numFmtId="165" fontId="0" fillId="0" borderId="13" xfId="0" applyNumberFormat="1" applyBorder="1" applyAlignment="1">
      <alignment horizontal="center" vertical="center"/>
    </xf>
    <xf numFmtId="165" fontId="0" fillId="0" borderId="14" xfId="0" applyNumberFormat="1" applyBorder="1" applyAlignment="1">
      <alignment horizontal="center" vertical="center"/>
    </xf>
    <xf numFmtId="0" fontId="1" fillId="5" borderId="3" xfId="0" applyFont="1" applyFill="1" applyBorder="1" applyAlignment="1">
      <alignment horizontal="center"/>
    </xf>
    <xf numFmtId="0" fontId="1" fillId="0" borderId="14" xfId="0" applyFont="1" applyBorder="1" applyAlignment="1">
      <alignment horizontal="center" vertical="center"/>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10" fillId="0" borderId="0" xfId="0" applyFont="1" applyAlignment="1">
      <alignment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166" fontId="0" fillId="0" borderId="1" xfId="0" applyNumberFormat="1" applyBorder="1" applyAlignment="1">
      <alignment horizontal="center" vertical="center" wrapText="1"/>
    </xf>
    <xf numFmtId="166" fontId="0" fillId="0" borderId="0" xfId="0" applyNumberFormat="1" applyAlignment="1">
      <alignment horizontal="center" vertical="center" wrapText="1"/>
    </xf>
    <xf numFmtId="0" fontId="11" fillId="2" borderId="0" xfId="0" applyFont="1" applyFill="1"/>
    <xf numFmtId="0" fontId="0" fillId="0" borderId="0" xfId="0" quotePrefix="1" applyAlignment="1">
      <alignment horizontal="center"/>
    </xf>
    <xf numFmtId="2" fontId="0" fillId="0" borderId="1"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1" xfId="0" applyNumberFormat="1" applyBorder="1" applyAlignment="1">
      <alignment horizontal="center" vertical="center"/>
    </xf>
    <xf numFmtId="2" fontId="0" fillId="0" borderId="5" xfId="0" applyNumberFormat="1" applyBorder="1" applyAlignment="1">
      <alignment horizontal="center" vertical="center"/>
    </xf>
    <xf numFmtId="2" fontId="0" fillId="0" borderId="12" xfId="0" applyNumberFormat="1" applyBorder="1" applyAlignment="1">
      <alignment horizontal="center" vertical="center" wrapText="1"/>
    </xf>
    <xf numFmtId="2" fontId="0" fillId="0" borderId="13" xfId="0" applyNumberFormat="1" applyBorder="1" applyAlignment="1">
      <alignment horizontal="center" vertical="center" wrapText="1"/>
    </xf>
    <xf numFmtId="2" fontId="0" fillId="2" borderId="8" xfId="0" applyNumberFormat="1" applyFill="1" applyBorder="1" applyAlignment="1">
      <alignment horizontal="center" vertical="center" wrapText="1"/>
    </xf>
    <xf numFmtId="0" fontId="0" fillId="0" borderId="8" xfId="0" applyBorder="1" applyAlignment="1">
      <alignment horizontal="center" vertical="center"/>
    </xf>
    <xf numFmtId="164" fontId="0" fillId="0" borderId="4" xfId="0" applyNumberFormat="1" applyBorder="1" applyAlignment="1">
      <alignment horizontal="center" vertical="center"/>
    </xf>
    <xf numFmtId="164" fontId="0" fillId="0" borderId="13" xfId="0" applyNumberFormat="1" applyBorder="1" applyAlignment="1">
      <alignment horizontal="center" vertical="center"/>
    </xf>
    <xf numFmtId="165" fontId="0" fillId="0" borderId="0" xfId="0" applyNumberFormat="1" applyAlignment="1">
      <alignment horizontal="center"/>
    </xf>
    <xf numFmtId="2" fontId="0" fillId="0" borderId="0" xfId="0" applyNumberFormat="1" applyAlignment="1">
      <alignment horizontal="center" vertical="center"/>
    </xf>
    <xf numFmtId="2" fontId="1" fillId="0" borderId="0" xfId="0" applyNumberFormat="1" applyFont="1" applyAlignment="1">
      <alignment horizontal="center" vertical="center"/>
    </xf>
    <xf numFmtId="165" fontId="0" fillId="0" borderId="5" xfId="0" applyNumberFormat="1" applyBorder="1"/>
    <xf numFmtId="164" fontId="0" fillId="0" borderId="6" xfId="0" applyNumberFormat="1" applyBorder="1" applyAlignment="1">
      <alignment horizontal="center" vertical="center"/>
    </xf>
    <xf numFmtId="164" fontId="0" fillId="0" borderId="14" xfId="0" applyNumberFormat="1" applyBorder="1" applyAlignment="1">
      <alignment horizontal="center" vertical="center"/>
    </xf>
    <xf numFmtId="165" fontId="0" fillId="0" borderId="8" xfId="0" applyNumberFormat="1" applyBorder="1"/>
    <xf numFmtId="2" fontId="1" fillId="0" borderId="14" xfId="0" applyNumberFormat="1" applyFont="1" applyBorder="1" applyAlignment="1">
      <alignment horizontal="center" vertical="center"/>
    </xf>
    <xf numFmtId="2" fontId="0" fillId="0" borderId="8" xfId="0" applyNumberFormat="1" applyBorder="1" applyAlignment="1">
      <alignment horizontal="center" vertical="center"/>
    </xf>
    <xf numFmtId="164" fontId="9" fillId="0" borderId="13" xfId="0" applyNumberFormat="1" applyFont="1" applyBorder="1" applyAlignment="1">
      <alignment horizontal="center"/>
    </xf>
    <xf numFmtId="164" fontId="9" fillId="0" borderId="5" xfId="0" applyNumberFormat="1" applyFont="1" applyBorder="1" applyAlignment="1">
      <alignment horizontal="center"/>
    </xf>
    <xf numFmtId="164" fontId="9" fillId="0" borderId="4" xfId="0" applyNumberFormat="1" applyFont="1" applyBorder="1" applyAlignment="1">
      <alignment horizontal="center"/>
    </xf>
    <xf numFmtId="0" fontId="9" fillId="0" borderId="5" xfId="0" applyFont="1" applyBorder="1" applyAlignment="1">
      <alignment horizontal="center"/>
    </xf>
    <xf numFmtId="0" fontId="9" fillId="0" borderId="0" xfId="0" applyFont="1" applyAlignment="1">
      <alignment horizontal="center"/>
    </xf>
    <xf numFmtId="0" fontId="9" fillId="0" borderId="4" xfId="0" applyFont="1" applyBorder="1" applyAlignment="1">
      <alignment horizontal="center"/>
    </xf>
    <xf numFmtId="0" fontId="9" fillId="0" borderId="13" xfId="0" applyFont="1" applyBorder="1" applyAlignment="1">
      <alignment horizontal="center"/>
    </xf>
    <xf numFmtId="0" fontId="9" fillId="0" borderId="12"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2" fontId="0" fillId="0" borderId="8" xfId="0" applyNumberForma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2" borderId="8" xfId="0" applyFill="1" applyBorder="1" applyAlignment="1">
      <alignment horizontal="center" vertical="center" wrapText="1"/>
    </xf>
    <xf numFmtId="164" fontId="0" fillId="0" borderId="12" xfId="0" applyNumberFormat="1" applyBorder="1" applyAlignment="1">
      <alignment horizontal="center" vertical="center"/>
    </xf>
    <xf numFmtId="2" fontId="0" fillId="0" borderId="0" xfId="0" applyNumberFormat="1"/>
    <xf numFmtId="2" fontId="0" fillId="0" borderId="12" xfId="0" applyNumberFormat="1" applyBorder="1"/>
    <xf numFmtId="2" fontId="0" fillId="0" borderId="1" xfId="0" applyNumberFormat="1" applyBorder="1"/>
    <xf numFmtId="0" fontId="0" fillId="2" borderId="0" xfId="0" applyFill="1" applyAlignment="1">
      <alignment horizontal="center"/>
    </xf>
    <xf numFmtId="2" fontId="0" fillId="0" borderId="5" xfId="0" applyNumberFormat="1" applyBorder="1" applyAlignment="1">
      <alignment horizontal="center" vertical="center" wrapText="1"/>
    </xf>
    <xf numFmtId="0" fontId="0" fillId="0" borderId="7" xfId="0" applyBorder="1" applyAlignment="1">
      <alignment horizontal="center" vertical="center"/>
    </xf>
    <xf numFmtId="164" fontId="0" fillId="0" borderId="2" xfId="0" applyNumberFormat="1" applyBorder="1" applyAlignment="1">
      <alignment horizontal="center"/>
    </xf>
    <xf numFmtId="0" fontId="1" fillId="5" borderId="1" xfId="0" applyFont="1" applyFill="1" applyBorder="1" applyAlignment="1">
      <alignment horizontal="center" vertical="center"/>
    </xf>
    <xf numFmtId="167" fontId="0" fillId="0" borderId="0" xfId="2" applyNumberFormat="1" applyFont="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5" borderId="12" xfId="0" applyFill="1" applyBorder="1" applyAlignment="1">
      <alignment horizontal="center" vertical="center"/>
    </xf>
    <xf numFmtId="0" fontId="0" fillId="5" borderId="20" xfId="0" applyFill="1" applyBorder="1" applyAlignment="1">
      <alignment horizontal="center"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13" fillId="0" borderId="14" xfId="0" applyFont="1" applyBorder="1" applyAlignment="1">
      <alignment horizontal="center" vertical="center" wrapText="1"/>
    </xf>
    <xf numFmtId="0" fontId="15" fillId="0" borderId="8" xfId="0" applyFont="1" applyBorder="1" applyAlignment="1">
      <alignment vertical="top" wrapText="1"/>
    </xf>
    <xf numFmtId="0" fontId="15" fillId="0" borderId="8" xfId="0" applyFont="1" applyBorder="1" applyAlignment="1">
      <alignment horizontal="center"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5" fillId="0" borderId="12" xfId="0" applyFont="1" applyBorder="1" applyAlignment="1">
      <alignment vertical="top" wrapText="1"/>
    </xf>
    <xf numFmtId="0" fontId="15" fillId="0" borderId="13" xfId="0" applyFont="1" applyBorder="1" applyAlignment="1">
      <alignment vertical="top" wrapText="1"/>
    </xf>
    <xf numFmtId="0" fontId="15" fillId="0" borderId="14" xfId="0" applyFont="1" applyBorder="1" applyAlignment="1">
      <alignment vertical="top" wrapText="1"/>
    </xf>
    <xf numFmtId="0" fontId="15" fillId="0" borderId="2" xfId="0" applyFont="1" applyBorder="1" applyAlignment="1">
      <alignment horizontal="center" vertical="center" wrapText="1"/>
    </xf>
    <xf numFmtId="0" fontId="15" fillId="0" borderId="3" xfId="0" applyFont="1" applyBorder="1" applyAlignment="1">
      <alignment vertical="top" wrapText="1"/>
    </xf>
    <xf numFmtId="0" fontId="15" fillId="0" borderId="4" xfId="0" applyFont="1" applyBorder="1" applyAlignment="1">
      <alignment horizontal="center" vertical="center" wrapText="1"/>
    </xf>
    <xf numFmtId="0" fontId="15" fillId="0" borderId="5" xfId="0" applyFont="1" applyBorder="1" applyAlignment="1">
      <alignment vertical="top" wrapText="1"/>
    </xf>
    <xf numFmtId="0" fontId="15" fillId="0" borderId="6"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3" fillId="5" borderId="1" xfId="0" applyFont="1" applyFill="1" applyBorder="1" applyAlignment="1">
      <alignment horizontal="center" vertical="center" wrapText="1"/>
    </xf>
    <xf numFmtId="0" fontId="1" fillId="2" borderId="12" xfId="0" applyFont="1" applyFill="1" applyBorder="1" applyAlignment="1">
      <alignment horizontal="center"/>
    </xf>
    <xf numFmtId="2" fontId="1" fillId="2" borderId="14" xfId="0" applyNumberFormat="1" applyFont="1" applyFill="1" applyBorder="1" applyAlignment="1">
      <alignment horizontal="center" vertical="center"/>
    </xf>
    <xf numFmtId="0" fontId="17" fillId="0" borderId="0" xfId="0" applyFont="1" applyAlignment="1">
      <alignment horizontal="center" vertical="center" wrapText="1"/>
    </xf>
    <xf numFmtId="0" fontId="16" fillId="0" borderId="2" xfId="0" applyFont="1" applyBorder="1" applyAlignment="1">
      <alignment horizontal="center" vertical="center" wrapText="1"/>
    </xf>
    <xf numFmtId="0" fontId="17" fillId="0" borderId="2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6"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wrapText="1"/>
    </xf>
    <xf numFmtId="0" fontId="16" fillId="5" borderId="9"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11"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10"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0" xfId="0" applyFont="1" applyAlignment="1">
      <alignment horizontal="center" vertical="center" wrapText="1"/>
    </xf>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7" xfId="0" applyFont="1" applyBorder="1" applyAlignment="1">
      <alignment horizontal="center" vertical="center" wrapText="1"/>
    </xf>
    <xf numFmtId="0" fontId="20" fillId="5" borderId="1"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20" fillId="5" borderId="10"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9" xfId="0" applyFont="1" applyBorder="1" applyAlignment="1">
      <alignment horizontal="center"/>
    </xf>
    <xf numFmtId="0" fontId="1" fillId="0" borderId="11" xfId="0" applyFont="1" applyBorder="1" applyAlignment="1">
      <alignment horizontal="center"/>
    </xf>
    <xf numFmtId="0" fontId="0" fillId="0" borderId="0" xfId="0" applyAlignment="1">
      <alignment horizontal="center"/>
    </xf>
    <xf numFmtId="0" fontId="0" fillId="0" borderId="20" xfId="0" applyBorder="1" applyAlignment="1">
      <alignment horizontal="center"/>
    </xf>
    <xf numFmtId="0" fontId="0" fillId="0" borderId="2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4" borderId="2" xfId="0" applyFill="1" applyBorder="1" applyAlignment="1">
      <alignment horizontal="center"/>
    </xf>
    <xf numFmtId="0" fontId="0" fillId="4" borderId="3"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0"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0" fillId="5" borderId="2"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0" xfId="0" applyFont="1" applyFill="1" applyAlignment="1">
      <alignment horizontal="center" vertical="center" wrapText="1"/>
    </xf>
    <xf numFmtId="0" fontId="10" fillId="5" borderId="9" xfId="0" applyFont="1" applyFill="1" applyBorder="1" applyAlignment="1">
      <alignment horizontal="center" wrapText="1"/>
    </xf>
    <xf numFmtId="0" fontId="10" fillId="5" borderId="10" xfId="0" applyFont="1" applyFill="1" applyBorder="1" applyAlignment="1">
      <alignment horizontal="center" wrapText="1"/>
    </xf>
    <xf numFmtId="0" fontId="10" fillId="5" borderId="11" xfId="0" applyFont="1" applyFill="1" applyBorder="1" applyAlignment="1">
      <alignment horizontal="center" wrapText="1"/>
    </xf>
    <xf numFmtId="0" fontId="1" fillId="5" borderId="9" xfId="0" applyFont="1" applyFill="1" applyBorder="1" applyAlignment="1">
      <alignment horizontal="center"/>
    </xf>
    <xf numFmtId="0" fontId="1" fillId="5" borderId="11" xfId="0" applyFont="1" applyFill="1" applyBorder="1" applyAlignment="1">
      <alignment horizontal="center"/>
    </xf>
    <xf numFmtId="0" fontId="1" fillId="5" borderId="10" xfId="0" applyFont="1" applyFill="1" applyBorder="1" applyAlignment="1">
      <alignment horizontal="center"/>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0" xfId="0" applyFont="1" applyFill="1" applyAlignment="1">
      <alignment horizontal="center"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0" xfId="0" applyFont="1" applyFill="1" applyAlignment="1">
      <alignment horizontal="center" vertical="center" wrapText="1"/>
    </xf>
    <xf numFmtId="0" fontId="11" fillId="2" borderId="0" xfId="0" applyFont="1" applyFill="1" applyAlignment="1">
      <alignment horizontal="center"/>
    </xf>
    <xf numFmtId="0" fontId="0" fillId="2" borderId="5" xfId="0"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11" xfId="0" applyFont="1" applyFill="1" applyBorder="1" applyAlignment="1">
      <alignment horizontal="center" vertical="center"/>
    </xf>
    <xf numFmtId="0" fontId="17" fillId="0" borderId="9"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3"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1" xfId="0" applyFont="1" applyBorder="1" applyAlignment="1">
      <alignment horizontal="center" vertical="center" wrapText="1"/>
    </xf>
    <xf numFmtId="0" fontId="17" fillId="0" borderId="1" xfId="0" applyFont="1" applyBorder="1" applyAlignment="1">
      <alignment horizontal="center" vertical="center" wrapText="1"/>
    </xf>
    <xf numFmtId="0" fontId="16" fillId="5" borderId="9" xfId="0" applyFont="1" applyFill="1" applyBorder="1" applyAlignment="1">
      <alignment horizontal="center" vertical="center" wrapText="1"/>
    </xf>
    <xf numFmtId="0" fontId="17" fillId="0" borderId="12"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6" xfId="0" applyFont="1" applyBorder="1" applyAlignment="1">
      <alignment horizontal="center" vertical="center" wrapText="1"/>
    </xf>
    <xf numFmtId="0" fontId="0" fillId="5" borderId="9" xfId="0" applyFill="1" applyBorder="1" applyAlignment="1">
      <alignment horizontal="center"/>
    </xf>
    <xf numFmtId="0" fontId="0" fillId="5" borderId="10" xfId="0" applyFill="1" applyBorder="1" applyAlignment="1">
      <alignment horizontal="center"/>
    </xf>
    <xf numFmtId="0" fontId="0" fillId="5" borderId="11" xfId="0" applyFill="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7" fillId="5" borderId="6" xfId="0" applyFont="1" applyFill="1" applyBorder="1" applyAlignment="1">
      <alignment horizontal="center"/>
    </xf>
    <xf numFmtId="0" fontId="7" fillId="5" borderId="7" xfId="0" applyFont="1" applyFill="1" applyBorder="1" applyAlignment="1">
      <alignment horizontal="center"/>
    </xf>
    <xf numFmtId="0" fontId="1" fillId="5" borderId="7" xfId="0" applyFont="1" applyFill="1" applyBorder="1" applyAlignment="1">
      <alignment horizontal="center"/>
    </xf>
    <xf numFmtId="0" fontId="1" fillId="9" borderId="0" xfId="0" applyFont="1" applyFill="1" applyAlignment="1">
      <alignment horizontal="center" vertical="center" wrapText="1"/>
    </xf>
  </cellXfs>
  <cellStyles count="3">
    <cellStyle name="Collegamento ipertestuale" xfId="1" builtinId="8"/>
    <cellStyle name="Migliaia" xfId="2"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9.9789378179579405E-2"/>
          <c:y val="0.10065239448902753"/>
          <c:w val="0.85129426485506976"/>
          <c:h val="0.78112793808122227"/>
        </c:manualLayout>
      </c:layout>
      <c:scatterChart>
        <c:scatterStyle val="lineMarker"/>
        <c:varyColors val="0"/>
        <c:ser>
          <c:idx val="0"/>
          <c:order val="0"/>
          <c:tx>
            <c:v>Polarization curve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'polarization curve'!$G$46:$G$72</c:f>
              <c:numCache>
                <c:formatCode>0.000</c:formatCode>
                <c:ptCount val="27"/>
                <c:pt idx="0">
                  <c:v>4.9247847663031656</c:v>
                </c:pt>
                <c:pt idx="1">
                  <c:v>9.9809964497884138</c:v>
                </c:pt>
                <c:pt idx="2">
                  <c:v>14.939795600043405</c:v>
                </c:pt>
                <c:pt idx="3">
                  <c:v>19.995456271701389</c:v>
                </c:pt>
                <c:pt idx="4">
                  <c:v>30.014239417182079</c:v>
                </c:pt>
                <c:pt idx="5">
                  <c:v>39.942211574978302</c:v>
                </c:pt>
                <c:pt idx="6">
                  <c:v>49.972428215874565</c:v>
                </c:pt>
                <c:pt idx="7">
                  <c:v>59.986114501953125</c:v>
                </c:pt>
                <c:pt idx="8">
                  <c:v>69.99969482421875</c:v>
                </c:pt>
                <c:pt idx="9">
                  <c:v>80.013275146484375</c:v>
                </c:pt>
                <c:pt idx="10">
                  <c:v>90.028762817382813</c:v>
                </c:pt>
                <c:pt idx="11">
                  <c:v>100.0428729587131</c:v>
                </c:pt>
                <c:pt idx="12">
                  <c:v>119.99130249023438</c:v>
                </c:pt>
                <c:pt idx="13">
                  <c:v>140.01846313476563</c:v>
                </c:pt>
                <c:pt idx="14">
                  <c:v>160.064697265625</c:v>
                </c:pt>
                <c:pt idx="15">
                  <c:v>179.99649047851563</c:v>
                </c:pt>
                <c:pt idx="16">
                  <c:v>200.06179809570313</c:v>
                </c:pt>
                <c:pt idx="17">
                  <c:v>220.08895874023438</c:v>
                </c:pt>
                <c:pt idx="18">
                  <c:v>240.12449052598743</c:v>
                </c:pt>
                <c:pt idx="19">
                  <c:v>260.067621866862</c:v>
                </c:pt>
                <c:pt idx="20">
                  <c:v>280.09425269232855</c:v>
                </c:pt>
                <c:pt idx="21">
                  <c:v>300.14016893174914</c:v>
                </c:pt>
                <c:pt idx="22">
                  <c:v>320.24383544921875</c:v>
                </c:pt>
                <c:pt idx="23">
                  <c:v>340.27099609375</c:v>
                </c:pt>
                <c:pt idx="24">
                  <c:v>360.29815673828125</c:v>
                </c:pt>
                <c:pt idx="25">
                  <c:v>380.3253173828125</c:v>
                </c:pt>
                <c:pt idx="26">
                  <c:v>400.35247802734375</c:v>
                </c:pt>
              </c:numCache>
            </c:numRef>
          </c:xVal>
          <c:yVal>
            <c:numRef>
              <c:f>'polarization curve'!$F$46:$F$72</c:f>
              <c:numCache>
                <c:formatCode>0.000</c:formatCode>
                <c:ptCount val="27"/>
                <c:pt idx="0">
                  <c:v>0.293210686577691</c:v>
                </c:pt>
                <c:pt idx="1">
                  <c:v>0.32137552897135419</c:v>
                </c:pt>
                <c:pt idx="2">
                  <c:v>0.3390131632486979</c:v>
                </c:pt>
                <c:pt idx="3">
                  <c:v>0.35459628634982637</c:v>
                </c:pt>
                <c:pt idx="4">
                  <c:v>0.37881961398654512</c:v>
                </c:pt>
                <c:pt idx="5">
                  <c:v>0.39989742702907988</c:v>
                </c:pt>
                <c:pt idx="6">
                  <c:v>0.41940867106119789</c:v>
                </c:pt>
                <c:pt idx="7">
                  <c:v>0.43752916124131946</c:v>
                </c:pt>
                <c:pt idx="8">
                  <c:v>0.45596279568142362</c:v>
                </c:pt>
                <c:pt idx="9">
                  <c:v>0.47300703260633681</c:v>
                </c:pt>
                <c:pt idx="10">
                  <c:v>0.48929782443576386</c:v>
                </c:pt>
                <c:pt idx="11">
                  <c:v>0.50479058159722223</c:v>
                </c:pt>
                <c:pt idx="12">
                  <c:v>0.53359476725260413</c:v>
                </c:pt>
                <c:pt idx="13">
                  <c:v>0.56194017198350699</c:v>
                </c:pt>
                <c:pt idx="14">
                  <c:v>0.58902028401692708</c:v>
                </c:pt>
                <c:pt idx="15">
                  <c:v>0.61655459933810763</c:v>
                </c:pt>
                <c:pt idx="16">
                  <c:v>0.64320339626736112</c:v>
                </c:pt>
                <c:pt idx="17">
                  <c:v>0.66843990749782989</c:v>
                </c:pt>
                <c:pt idx="18">
                  <c:v>0.69475470648871529</c:v>
                </c:pt>
                <c:pt idx="19">
                  <c:v>0.72130974663628478</c:v>
                </c:pt>
                <c:pt idx="20">
                  <c:v>0.74652150472005208</c:v>
                </c:pt>
                <c:pt idx="21">
                  <c:v>0.77398342556423616</c:v>
                </c:pt>
                <c:pt idx="22">
                  <c:v>0.80022515190972221</c:v>
                </c:pt>
                <c:pt idx="23">
                  <c:v>0.82632276746961808</c:v>
                </c:pt>
                <c:pt idx="24">
                  <c:v>0.85240512424045134</c:v>
                </c:pt>
                <c:pt idx="25">
                  <c:v>0.87719048394097221</c:v>
                </c:pt>
                <c:pt idx="26">
                  <c:v>0.90391370985243058</c:v>
                </c:pt>
              </c:numCache>
            </c:numRef>
          </c:yVal>
          <c:smooth val="0"/>
          <c:extLst>
            <c:ext xmlns:c16="http://schemas.microsoft.com/office/drawing/2014/chart" uri="{C3380CC4-5D6E-409C-BE32-E72D297353CC}">
              <c16:uniqueId val="{00000000-659F-4306-8A5B-61F9DA66211D}"/>
            </c:ext>
          </c:extLst>
        </c:ser>
        <c:ser>
          <c:idx val="1"/>
          <c:order val="1"/>
          <c:tx>
            <c:v>Efficiency</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'polarization curve'!$G$46:$G$72</c:f>
              <c:numCache>
                <c:formatCode>0.000</c:formatCode>
                <c:ptCount val="27"/>
                <c:pt idx="0">
                  <c:v>4.9247847663031656</c:v>
                </c:pt>
                <c:pt idx="1">
                  <c:v>9.9809964497884138</c:v>
                </c:pt>
                <c:pt idx="2">
                  <c:v>14.939795600043405</c:v>
                </c:pt>
                <c:pt idx="3">
                  <c:v>19.995456271701389</c:v>
                </c:pt>
                <c:pt idx="4">
                  <c:v>30.014239417182079</c:v>
                </c:pt>
                <c:pt idx="5">
                  <c:v>39.942211574978302</c:v>
                </c:pt>
                <c:pt idx="6">
                  <c:v>49.972428215874565</c:v>
                </c:pt>
                <c:pt idx="7">
                  <c:v>59.986114501953125</c:v>
                </c:pt>
                <c:pt idx="8">
                  <c:v>69.99969482421875</c:v>
                </c:pt>
                <c:pt idx="9">
                  <c:v>80.013275146484375</c:v>
                </c:pt>
                <c:pt idx="10">
                  <c:v>90.028762817382813</c:v>
                </c:pt>
                <c:pt idx="11">
                  <c:v>100.0428729587131</c:v>
                </c:pt>
                <c:pt idx="12">
                  <c:v>119.99130249023438</c:v>
                </c:pt>
                <c:pt idx="13">
                  <c:v>140.01846313476563</c:v>
                </c:pt>
                <c:pt idx="14">
                  <c:v>160.064697265625</c:v>
                </c:pt>
                <c:pt idx="15">
                  <c:v>179.99649047851563</c:v>
                </c:pt>
                <c:pt idx="16">
                  <c:v>200.06179809570313</c:v>
                </c:pt>
                <c:pt idx="17">
                  <c:v>220.08895874023438</c:v>
                </c:pt>
                <c:pt idx="18">
                  <c:v>240.12449052598743</c:v>
                </c:pt>
                <c:pt idx="19">
                  <c:v>260.067621866862</c:v>
                </c:pt>
                <c:pt idx="20">
                  <c:v>280.09425269232855</c:v>
                </c:pt>
                <c:pt idx="21">
                  <c:v>300.14016893174914</c:v>
                </c:pt>
                <c:pt idx="22">
                  <c:v>320.24383544921875</c:v>
                </c:pt>
                <c:pt idx="23">
                  <c:v>340.27099609375</c:v>
                </c:pt>
                <c:pt idx="24">
                  <c:v>360.29815673828125</c:v>
                </c:pt>
                <c:pt idx="25">
                  <c:v>380.3253173828125</c:v>
                </c:pt>
                <c:pt idx="26">
                  <c:v>400.35247802734375</c:v>
                </c:pt>
              </c:numCache>
            </c:numRef>
          </c:xVal>
          <c:yVal>
            <c:numRef>
              <c:f>'polarization curve'!$I$46:$I$72</c:f>
              <c:numCache>
                <c:formatCode>0.000</c:formatCode>
                <c:ptCount val="27"/>
                <c:pt idx="0">
                  <c:v>0.4459056647995871</c:v>
                </c:pt>
                <c:pt idx="1">
                  <c:v>0.42220391965138404</c:v>
                </c:pt>
                <c:pt idx="2">
                  <c:v>0.40860289033962666</c:v>
                </c:pt>
                <c:pt idx="3">
                  <c:v>0.39729512163937458</c:v>
                </c:pt>
                <c:pt idx="4">
                  <c:v>0.38090900565541325</c:v>
                </c:pt>
                <c:pt idx="5">
                  <c:v>0.36771238318990235</c:v>
                </c:pt>
                <c:pt idx="6">
                  <c:v>0.35628623102100443</c:v>
                </c:pt>
                <c:pt idx="7">
                  <c:v>0.34629267538702002</c:v>
                </c:pt>
                <c:pt idx="8">
                  <c:v>0.33668569962251543</c:v>
                </c:pt>
                <c:pt idx="9">
                  <c:v>0.32826525736654599</c:v>
                </c:pt>
                <c:pt idx="10">
                  <c:v>0.32060152298412553</c:v>
                </c:pt>
                <c:pt idx="11">
                  <c:v>0.31363797325011683</c:v>
                </c:pt>
                <c:pt idx="12">
                  <c:v>0.30146413195277733</c:v>
                </c:pt>
                <c:pt idx="13">
                  <c:v>0.29037284213893533</c:v>
                </c:pt>
                <c:pt idx="14">
                  <c:v>0.28051306071934645</c:v>
                </c:pt>
                <c:pt idx="15">
                  <c:v>0.27115152355640038</c:v>
                </c:pt>
                <c:pt idx="16">
                  <c:v>0.26266746443202232</c:v>
                </c:pt>
                <c:pt idx="17">
                  <c:v>0.25510839901447413</c:v>
                </c:pt>
                <c:pt idx="18">
                  <c:v>0.24767620817689681</c:v>
                </c:pt>
                <c:pt idx="19">
                  <c:v>0.24060262662547935</c:v>
                </c:pt>
                <c:pt idx="20">
                  <c:v>0.2342508898374186</c:v>
                </c:pt>
                <c:pt idx="21">
                  <c:v>0.2277031861704133</c:v>
                </c:pt>
                <c:pt idx="22">
                  <c:v>0.22177951838646029</c:v>
                </c:pt>
                <c:pt idx="23">
                  <c:v>0.21618634512411883</c:v>
                </c:pt>
                <c:pt idx="24">
                  <c:v>0.21087137928629307</c:v>
                </c:pt>
                <c:pt idx="25">
                  <c:v>0.20605735005158568</c:v>
                </c:pt>
                <c:pt idx="26">
                  <c:v>0.20110726677453908</c:v>
                </c:pt>
              </c:numCache>
            </c:numRef>
          </c:yVal>
          <c:smooth val="0"/>
          <c:extLst>
            <c:ext xmlns:c16="http://schemas.microsoft.com/office/drawing/2014/chart" uri="{C3380CC4-5D6E-409C-BE32-E72D297353CC}">
              <c16:uniqueId val="{00000000-C10D-475E-B527-24BE10F63969}"/>
            </c:ext>
          </c:extLst>
        </c:ser>
        <c:dLbls>
          <c:showLegendKey val="0"/>
          <c:showVal val="0"/>
          <c:showCatName val="0"/>
          <c:showSerName val="0"/>
          <c:showPercent val="0"/>
          <c:showBubbleSize val="0"/>
        </c:dLbls>
        <c:axId val="1695791487"/>
        <c:axId val="16158415"/>
      </c:scatterChart>
      <c:valAx>
        <c:axId val="1695791487"/>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6158415"/>
        <c:crosses val="autoZero"/>
        <c:crossBetween val="midCat"/>
      </c:valAx>
      <c:valAx>
        <c:axId val="16158415"/>
        <c:scaling>
          <c:orientation val="minMax"/>
        </c:scaling>
        <c:delete val="0"/>
        <c:axPos val="l"/>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it-IT"/>
          </a:p>
        </c:txPr>
        <c:crossAx val="1695791487"/>
        <c:crosses val="autoZero"/>
        <c:crossBetween val="midCat"/>
      </c:valAx>
      <c:spPr>
        <a:noFill/>
        <a:ln>
          <a:noFill/>
        </a:ln>
        <a:effectLst/>
      </c:spPr>
    </c:plotArea>
    <c:legend>
      <c:legendPos val="r"/>
      <c:layout>
        <c:manualLayout>
          <c:xMode val="edge"/>
          <c:yMode val="edge"/>
          <c:x val="0.50007522944982197"/>
          <c:y val="0.78000490553696766"/>
          <c:w val="0.30884196800240726"/>
          <c:h val="8.985685894694474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Cost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1C5C-4C03-BBAB-BBD9E9019F56}"/>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1C5C-4C03-BBAB-BBD9E9019F56}"/>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1C5C-4C03-BBAB-BBD9E9019F56}"/>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1C5C-4C03-BBAB-BBD9E9019F56}"/>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1C5C-4C03-BBAB-BBD9E9019F56}"/>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1C5C-4C03-BBAB-BBD9E9019F56}"/>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it-I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'costo idrogeno in 20 anni  (2)'!$I$25:$N$25</c:f>
              <c:strCache>
                <c:ptCount val="6"/>
                <c:pt idx="0">
                  <c:v>ELECTRICITY COST [M€/y]</c:v>
                </c:pt>
                <c:pt idx="1">
                  <c:v>OPEX [M€]</c:v>
                </c:pt>
                <c:pt idx="2">
                  <c:v>METHANOL COST [M€]</c:v>
                </c:pt>
                <c:pt idx="3">
                  <c:v>DECOMISSIONING [M€]</c:v>
                </c:pt>
                <c:pt idx="4">
                  <c:v>STACK SUBSTITUTION [M€]</c:v>
                </c:pt>
                <c:pt idx="5">
                  <c:v>CAPEX [M€]</c:v>
                </c:pt>
              </c:strCache>
            </c:strRef>
          </c:cat>
          <c:val>
            <c:numRef>
              <c:f>'costo idrogeno in 20 anni  (2)'!$I$26:$N$26</c:f>
              <c:numCache>
                <c:formatCode>0.0000</c:formatCode>
                <c:ptCount val="6"/>
                <c:pt idx="0" formatCode="0.000">
                  <c:v>18.623848360949076</c:v>
                </c:pt>
                <c:pt idx="1">
                  <c:v>4.6434423857835583</c:v>
                </c:pt>
                <c:pt idx="2" formatCode="0.000">
                  <c:v>17.260146505330329</c:v>
                </c:pt>
                <c:pt idx="3" formatCode="0.000">
                  <c:v>3.3206342778156555</c:v>
                </c:pt>
                <c:pt idx="4" formatCode="General">
                  <c:v>6.6412685556313109</c:v>
                </c:pt>
                <c:pt idx="5" formatCode="General">
                  <c:v>36.661957508376922</c:v>
                </c:pt>
              </c:numCache>
            </c:numRef>
          </c:val>
          <c:extLst>
            <c:ext xmlns:c16="http://schemas.microsoft.com/office/drawing/2014/chart" uri="{C3380CC4-5D6E-409C-BE32-E72D297353CC}">
              <c16:uniqueId val="{0000000C-1C5C-4C03-BBAB-BBD9E9019F56}"/>
            </c:ext>
          </c:extLst>
        </c:ser>
        <c:dLbls>
          <c:dLblPos val="inEnd"/>
          <c:showLegendKey val="0"/>
          <c:showVal val="0"/>
          <c:showCatName val="1"/>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12</xdr:col>
      <xdr:colOff>48069</xdr:colOff>
      <xdr:row>36</xdr:row>
      <xdr:rowOff>314769</xdr:rowOff>
    </xdr:from>
    <xdr:ext cx="65" cy="172227"/>
    <xdr:sp macro="" textlink="">
      <xdr:nvSpPr>
        <xdr:cNvPr id="3" name="CasellaDiTesto 2">
          <a:extLst>
            <a:ext uri="{FF2B5EF4-FFF2-40B4-BE49-F238E27FC236}">
              <a16:creationId xmlns:a16="http://schemas.microsoft.com/office/drawing/2014/main" id="{229A7C46-0FD0-6956-AABF-7CB11C5D1FED}"/>
            </a:ext>
          </a:extLst>
        </xdr:cNvPr>
        <xdr:cNvSpPr txBox="1"/>
      </xdr:nvSpPr>
      <xdr:spPr>
        <a:xfrm>
          <a:off x="13414819" y="165771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it-IT"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556260</xdr:colOff>
      <xdr:row>41</xdr:row>
      <xdr:rowOff>0</xdr:rowOff>
    </xdr:from>
    <xdr:to>
      <xdr:col>15</xdr:col>
      <xdr:colOff>20320</xdr:colOff>
      <xdr:row>67</xdr:row>
      <xdr:rowOff>152400</xdr:rowOff>
    </xdr:to>
    <xdr:graphicFrame macro="">
      <xdr:nvGraphicFramePr>
        <xdr:cNvPr id="2" name="Grafico 1">
          <a:extLst>
            <a:ext uri="{FF2B5EF4-FFF2-40B4-BE49-F238E27FC236}">
              <a16:creationId xmlns:a16="http://schemas.microsoft.com/office/drawing/2014/main" id="{C3CE3B4A-0394-1469-49C0-6404E77FF58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628135</xdr:colOff>
      <xdr:row>27</xdr:row>
      <xdr:rowOff>147251</xdr:rowOff>
    </xdr:from>
    <xdr:to>
      <xdr:col>14</xdr:col>
      <xdr:colOff>15446</xdr:colOff>
      <xdr:row>53</xdr:row>
      <xdr:rowOff>66932</xdr:rowOff>
    </xdr:to>
    <xdr:graphicFrame macro="">
      <xdr:nvGraphicFramePr>
        <xdr:cNvPr id="2" name="Grafico 1">
          <a:extLst>
            <a:ext uri="{FF2B5EF4-FFF2-40B4-BE49-F238E27FC236}">
              <a16:creationId xmlns:a16="http://schemas.microsoft.com/office/drawing/2014/main" id="{B65D188F-5DDA-4A4B-A814-C4646299D3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GALAZZO RAFFAELE" id="{9DBE04B2-AE44-48C2-A3BA-9EA936FAE431}" userId="GALAZZO RAFFAELE" providerId="None"/>
  <person displayName="GALAZZO RAFFAELE" id="{2DF06B7C-9752-4674-A2C6-C060155E4657}" userId="S::S292532@studenti.polito.it::db962df1-f176-4a0d-8809-8292f2cc3a7f" providerId="AD"/>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 dT="2022-12-21T11:33:28.25" personId="{9DBE04B2-AE44-48C2-A3BA-9EA936FAE431}" id="{CFCC1B52-8C5A-46E9-A887-F89F176FEA95}">
    <text xml:space="preserve">Report: On the economics of a hydrogen bus fleet powered
by a wind park e A case study for Austria pag 5 table 1
Mi da in tabella un periodo di monitoraggio di 10 anni, con il relativo consumo totale di idrogeno, assumo consumo costante ogni anno quindi ottengo dividendo la distanza totale trascorsa (45000 km) per 10 anni, il valore 4500 [km/y]
</text>
  </threadedComment>
  <threadedComment ref="B3" dT="2023-01-15T12:37:05.54" personId="{9DBE04B2-AE44-48C2-A3BA-9EA936FAE431}" id="{83067067-8463-4E14-8F4C-C8F5216F82B8}">
    <text>https://www.quattroruote.it/news/curiosita/2016/02/24/italiani_alla_guida_in_media_percorrono_11_200_km_all_anno_.html</text>
    <extLst>
      <x:ext xmlns:xltc2="http://schemas.microsoft.com/office/spreadsheetml/2020/threadedcomments2" uri="{F7C98A9C-CBB3-438F-8F68-D28B6AF4A901}">
        <xltc2:checksum>1980402975</xltc2:checksum>
        <xltc2:hyperlink startIndex="0" length="118" url="https://www.quattroruote.it/news/curiosita/2016/02/24/italiani_alla_guida_in_media_percorrono_11_200_km_all_anno_.html"/>
      </x:ext>
    </extLst>
  </threadedComment>
  <threadedComment ref="B3" dT="2023-01-15T12:37:25.74" personId="{9DBE04B2-AE44-48C2-A3BA-9EA936FAE431}" id="{4BA0938B-3067-4193-B046-36F5835A2BFC}" parentId="{83067067-8463-4E14-8F4C-C8F5216F82B8}">
    <text>FONTE 2: https://www.dalcarnoleggio.it/kmannui/#:~:text=I%20risultati%20si%20differenziano%20leggermente,notevolmente%20da%20regione%20a%20regione.</text>
    <extLst>
      <x:ext xmlns:xltc2="http://schemas.microsoft.com/office/spreadsheetml/2020/threadedcomments2" uri="{F7C98A9C-CBB3-438F-8F68-D28B6AF4A901}">
        <xltc2:checksum>2127939827</xltc2:checksum>
        <xltc2:hyperlink startIndex="9" length="137" url="https://www.dalcarnoleggio.it/kmannui/#:~:text=I%20risultati%20si%20differenziano%20leggermente,notevolmente%20da%20regione%20a%20regione"/>
      </x:ext>
    </extLst>
  </threadedComment>
  <threadedComment ref="D3" dT="2022-12-21T10:59:56.33" personId="{9DBE04B2-AE44-48C2-A3BA-9EA936FAE431}" id="{9CE61457-26E0-4757-ABF5-B2B11FDAAC41}">
    <text xml:space="preserve">https://www.toyota.it/electrified/fuel-cell/che-autonomia-hanno-le-auto-a-idrogeno
</text>
    <extLst>
      <x:ext xmlns:xltc2="http://schemas.microsoft.com/office/spreadsheetml/2020/threadedcomments2" uri="{F7C98A9C-CBB3-438F-8F68-D28B6AF4A901}">
        <xltc2:checksum>2475830311</xltc2:checksum>
        <xltc2:hyperlink startIndex="0" length="82" url="https://www.toyota.it/electrified/fuel-cell/che-autonomia-hanno-le-auto-a-idrogeno"/>
      </x:ext>
    </extLst>
  </threadedComment>
  <threadedComment ref="H3" dT="2022-12-21T11:34:14.79" personId="{9DBE04B2-AE44-48C2-A3BA-9EA936FAE431}" id="{D77073EC-B8E0-4996-8EE6-E39991764EFE}">
    <text>Report: On the economics of a hydrogen bus fleet powered
by a wind park e A case study for Austria pag 5</text>
  </threadedComment>
  <threadedComment ref="G4" dT="2022-12-21T11:35:16.88" personId="{9DBE04B2-AE44-48C2-A3BA-9EA936FAE431}" id="{9D75F31F-001D-41CA-A43D-97F1473C6CBD}">
    <text>In the scientific report, it's written that i need 9kg_H2/100km, so i made the calculation to find how many km i can do with 1 kg_H2</text>
  </threadedComment>
  <threadedComment ref="B5" dT="2022-12-21T11:01:27.88" personId="{9DBE04B2-AE44-48C2-A3BA-9EA936FAE431}" id="{E335DAC7-8151-4874-8114-766B5AE7D8A0}">
    <text>https://www.alvolante.it/news/toyota-mirai-record-1003-km-un-pieno-idrogeno-373646</text>
    <extLst>
      <x:ext xmlns:xltc2="http://schemas.microsoft.com/office/spreadsheetml/2020/threadedcomments2" uri="{F7C98A9C-CBB3-438F-8F68-D28B6AF4A901}">
        <xltc2:checksum>1547004461</xltc2:checksum>
        <xltc2:hyperlink startIndex="0" length="82" url="https://www.alvolante.it/news/toyota-mirai-record-1003-km-un-pieno-idrogeno-373646"/>
      </x:ext>
    </extLst>
  </threadedComment>
  <threadedComment ref="H5" dT="2022-12-21T11:38:02.50" personId="{9DBE04B2-AE44-48C2-A3BA-9EA936FAE431}" id="{72EC8341-3A1E-4ACA-8C06-A6CD7496E249}">
    <text>multipling [km/kg_H2]*FULL BUS TANK CAPACITY [kg_H2], i can obtain how many km i can do with full tank capacity</text>
  </threadedComment>
  <threadedComment ref="B6" dT="2022-12-21T11:11:22.35" personId="{9DBE04B2-AE44-48C2-A3BA-9EA936FAE431}" id="{C3538C9D-28DC-4410-B178-CF287E19581B}">
    <text>Pag 61: https://www.isolesostenibili.it/wp-content/uploads/2022/03/ENG-Libro-ISOLE21-1.pdf</text>
    <extLst>
      <x:ext xmlns:xltc2="http://schemas.microsoft.com/office/spreadsheetml/2020/threadedcomments2" uri="{F7C98A9C-CBB3-438F-8F68-D28B6AF4A901}">
        <xltc2:checksum>3981552848</xltc2:checksum>
        <xltc2:hyperlink startIndex="8" length="82" url="https://www.isolesostenibili.it/wp-content/uploads/2022/03/ENG-Libro-ISOLE21-1.pdf"/>
      </x:ext>
    </extLst>
  </threadedComment>
  <threadedComment ref="E6" dT="2023-01-18T10:07:14.95" personId="{9DBE04B2-AE44-48C2-A3BA-9EA936FAE431}" id="{4A36FF9D-7933-4B28-9C1C-72ACC495E285}">
    <text>Da report isole sostenibili ottengo questi valori facendo la proporzione sul totale dei veicoli presenti</text>
  </threadedComment>
  <threadedComment ref="A7" dT="2022-12-21T10:59:56.33" personId="{9DBE04B2-AE44-48C2-A3BA-9EA936FAE431}" id="{799441DF-FA64-495D-B520-E5BD3CE7E531}">
    <text xml:space="preserve">https://www.toyota.it/electrified/fuel-cell/che-autonomia-hanno-le-auto-a-idrogeno
</text>
    <extLst>
      <x:ext xmlns:xltc2="http://schemas.microsoft.com/office/spreadsheetml/2020/threadedcomments2" uri="{F7C98A9C-CBB3-438F-8F68-D28B6AF4A901}">
        <xltc2:checksum>2475830311</xltc2:checksum>
        <xltc2:hyperlink startIndex="0" length="82" url="https://www.toyota.it/electrified/fuel-cell/che-autonomia-hanno-le-auto-a-idrogeno"/>
      </x:ext>
    </extLst>
  </threadedComment>
  <threadedComment ref="B9" dT="2023-01-18T09:43:07.86" personId="{9DBE04B2-AE44-48C2-A3BA-9EA936FAE431}" id="{C2384AD4-F81A-4703-B995-E4509D87FE56}">
    <text>total amount of hydrogen that i need for all amount of vehicles in the island [kg_H2/year]</text>
  </threadedComment>
  <threadedComment ref="J11" dT="2022-12-22T10:53:34.18" personId="{9DBE04B2-AE44-48C2-A3BA-9EA936FAE431}" id="{5A98D32D-3A22-4DDA-B153-2401BF4C3A21}">
    <text>Reference:
https://www.energy.gov/eere/fuelcells/doe-technical-targets-hydrogen-delivery</text>
    <extLst>
      <x:ext xmlns:xltc2="http://schemas.microsoft.com/office/spreadsheetml/2020/threadedcomments2" uri="{F7C98A9C-CBB3-438F-8F68-D28B6AF4A901}">
        <xltc2:checksum>1414638843</xltc2:checksum>
        <xltc2:hyperlink startIndex="11" length="77" url="https://www.energy.gov/eere/fuelcells/doe-technical-targets-hydrogen-delivery"/>
      </x:ext>
    </extLst>
  </threadedComment>
  <threadedComment ref="A12" dT="2022-12-22T10:00:10.50" personId="{9DBE04B2-AE44-48C2-A3BA-9EA936FAE431}" id="{56F44DB0-88BF-4C7C-8375-01420ABA8595}">
    <text>Reference: https://www.methanol.org/methanol-price-supply-demand/</text>
    <extLst>
      <x:ext xmlns:xltc2="http://schemas.microsoft.com/office/spreadsheetml/2020/threadedcomments2" uri="{F7C98A9C-CBB3-438F-8F68-D28B6AF4A901}">
        <xltc2:checksum>387715182</xltc2:checksum>
        <xltc2:hyperlink startIndex="11" length="54" url="https://www.methanol.org/methanol-price-supply-demand/"/>
      </x:ext>
    </extLst>
  </threadedComment>
  <threadedComment ref="B12" dT="2023-01-12T08:46:47.08" personId="{9DBE04B2-AE44-48C2-A3BA-9EA936FAE431}" id="{455A4DBA-A1AE-408A-9B1F-AD47FC8DE347}">
    <text>Controlla di nuovo se è biomethanol o e-methanol</text>
  </threadedComment>
  <threadedComment ref="F12" dT="2022-12-22T10:53:59.70" personId="{9DBE04B2-AE44-48C2-A3BA-9EA936FAE431}" id="{3E51B244-2244-4AB9-B54E-3921B66D315F}">
    <text>Reference: 
https://www.energy.gov/eere/fuelcells/doe-technical-targets-hydrogen-delivery</text>
    <extLst>
      <x:ext xmlns:xltc2="http://schemas.microsoft.com/office/spreadsheetml/2020/threadedcomments2" uri="{F7C98A9C-CBB3-438F-8F68-D28B6AF4A901}">
        <xltc2:checksum>783932284</xltc2:checksum>
        <xltc2:hyperlink startIndex="12" length="77" url="https://www.energy.gov/eere/fuelcells/doe-technical-targets-hydrogen-delivery"/>
      </x:ext>
    </extLst>
  </threadedComment>
  <threadedComment ref="A14" dT="2022-12-22T10:50:09.08" personId="{9DBE04B2-AE44-48C2-A3BA-9EA936FAE431}" id="{7536915C-7F65-491E-B9FE-A382834A0095}">
    <text>Reference:
https://www.indiamart.com/proddetail/methanol-storage-tank-25303131688.html</text>
    <extLst>
      <x:ext xmlns:xltc2="http://schemas.microsoft.com/office/spreadsheetml/2020/threadedcomments2" uri="{F7C98A9C-CBB3-438F-8F68-D28B6AF4A901}">
        <xltc2:checksum>3857506133</xltc2:checksum>
        <xltc2:hyperlink startIndex="11" length="75" url="https://www.indiamart.com/proddetail/methanol-storage-tank-25303131688.html"/>
      </x:ext>
    </extLst>
  </threadedComment>
  <threadedComment ref="F14" dT="2022-12-21T11:45:59.96" personId="{9DBE04B2-AE44-48C2-A3BA-9EA936FAE431}" id="{6FDF6608-B8E3-4B8A-A2B5-379683E0C029}">
    <text>L'idrogeno che produco si riferisce al punto della mia curva di polarizzazione: considero l'idrogeno all'anno che produco in quelle condizioni di corrente e tensione e lo moltiplico per il numero di elettrolizzatori che mi serve per raggiungere il mio output, siccome devo avere un numero intero di elettrolizzatori, arrotondo per eccesso il valore e quindi produrrò leggermente di più di quanto mi viene richiesto ogni anno</text>
  </threadedComment>
  <threadedComment ref="B15" dT="2023-01-18T10:09:05.96" personId="{9DBE04B2-AE44-48C2-A3BA-9EA936FAE431}" id="{320CF667-1617-4315-BF1D-A4C2034C090B}">
    <text>tank that i need to store methanol for one month</text>
  </threadedComment>
  <threadedComment ref="C15" dT="2022-12-21T19:33:05.84" personId="{9DBE04B2-AE44-48C2-A3BA-9EA936FAE431}" id="{603F89E2-D41F-47B2-8901-FD129DA3DC5F}">
    <text>From the reaction I calculate the stoichiometric quantity of methanol I need to produce my final hydrogen output</text>
  </threadedComment>
  <threadedComment ref="B16" dT="2023-01-18T10:10:21.98" personId="{9DBE04B2-AE44-48C2-A3BA-9EA936FAE431}" id="{984CE5AB-2771-46A0-A505-8434EBC9020E}">
    <text>Litri totali di metanolo che posso conservare</text>
  </threadedComment>
  <threadedComment ref="B18" dT="2022-12-22T10:45:38.23" personId="{9DBE04B2-AE44-48C2-A3BA-9EA936FAE431}" id="{BFF34AEB-C17D-44A8-9554-C3F48163B1CC}">
    <text>After 30 days i have to refill the tank</text>
  </threadedComment>
  <threadedComment ref="B18" dT="2023-01-18T10:11:09.63" personId="{9DBE04B2-AE44-48C2-A3BA-9EA936FAE431}" id="{4A4C27D5-FCEA-46AE-9C5B-3BDBB43E50A7}" parentId="{BFF34AEB-C17D-44A8-9554-C3F48163B1CC}">
    <text>30 giorni assunti da me</text>
  </threadedComment>
  <threadedComment ref="R22" dT="2022-12-22T10:53:34.18" personId="{9DBE04B2-AE44-48C2-A3BA-9EA936FAE431}" id="{814338B7-EB15-4EFF-86E5-8103223B430D}">
    <text>Reference:
https://www.energy.gov/eere/fuelcells/doe-technical-targets-hydrogen-delivery</text>
    <extLst>
      <x:ext xmlns:xltc2="http://schemas.microsoft.com/office/spreadsheetml/2020/threadedcomments2" uri="{F7C98A9C-CBB3-438F-8F68-D28B6AF4A901}">
        <xltc2:checksum>1414638843</xltc2:checksum>
        <xltc2:hyperlink startIndex="11" length="77" url="https://www.energy.gov/eere/fuelcells/doe-technical-targets-hydrogen-delivery"/>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D2" dT="2022-12-21T10:31:13.76" personId="{9DBE04B2-AE44-48C2-A3BA-9EA936FAE431}" id="{ED021ED6-8CA6-42D7-8FF0-E9CEC556FD5B}">
    <text xml:space="preserve">Calculated at 70°C
</text>
  </threadedComment>
  <threadedComment ref="D2" dT="2022-12-22T16:23:17.28" personId="{9DBE04B2-AE44-48C2-A3BA-9EA936FAE431}" id="{E21C7D13-2C22-44F6-B907-1247594C52AD}" parentId="{ED021ED6-8CA6-42D7-8FF0-E9CEC556FD5B}">
    <text>REFERENCE: PAG 19
Production of Clean Hydrogen by Electrochemical Reforming of Oxygenated Organic Compounds</text>
  </threadedComment>
  <threadedComment ref="E2" dT="2022-12-21T10:31:40.95" personId="{9DBE04B2-AE44-48C2-A3BA-9EA936FAE431}" id="{F4863492-4AB8-475D-8080-25E9BCED8F88}">
    <text xml:space="preserve">Ricalcola alla corretta temperatura quando aggiorni con la nuova curva di polarizzazione
</text>
  </threadedComment>
  <threadedComment ref="F2" dT="2022-12-21T10:33:07.65" personId="{9DBE04B2-AE44-48C2-A3BA-9EA936FAE431}" id="{51134240-0EB6-4DE6-8172-864B8E1295BE}">
    <text>Pag 19 del report: production of clean hydrogen by electroreforming of oxyg. Org compounds</text>
  </threadedComment>
  <threadedComment ref="F2" dT="2022-12-29T13:33:50.85" personId="{9DBE04B2-AE44-48C2-A3BA-9EA936FAE431}" id="{409AACA7-12CE-4742-9E4B-8EFEE31632E8}" parentId="{51134240-0EB6-4DE6-8172-864B8E1295BE}">
    <text>Calculated at 70°C</text>
  </threadedComment>
  <threadedComment ref="G2" dT="2022-12-21T10:34:14.26" personId="{9DBE04B2-AE44-48C2-A3BA-9EA936FAE431}" id="{BBAD98B2-00C4-4515-9B53-3635DC51A2D3}">
    <text xml:space="preserve">Report: pag 8 (salvato sul pc come: 
faradaic eff)
 Faradaic Efficiencies for Methanol Oxidation in Proton-Exchange Membrane Electrolysis and Fuel Cells with Various Anode Catalysts </text>
  </threadedComment>
  <threadedComment ref="G2" dT="2022-12-22T16:32:00.54" personId="{9DBE04B2-AE44-48C2-A3BA-9EA936FAE431}" id="{9437AB54-CDDA-4823-97FA-4D578AF63840}" parentId="{BBAD98B2-00C4-4515-9B53-3635DC51A2D3}">
    <text>PAG 8, TABLE 1</text>
  </threadedComment>
  <threadedComment ref="I3" dT="2022-12-22T11:29:49.36" personId="{9DBE04B2-AE44-48C2-A3BA-9EA936FAE431}" id="{784EFB24-50DD-4F7E-9A9B-85D19A07998E}">
    <text>Assuming CF=100%</text>
  </threadedComment>
  <threadedComment ref="K3" dT="2022-12-22T11:30:04.99" personId="{9DBE04B2-AE44-48C2-A3BA-9EA936FAE431}" id="{A5FFDFE9-EE47-4DF5-A771-011732995AD4}">
    <text xml:space="preserve">REFERENCE: https://www.sciencedirect.com/science/article/pii/S136403211731242X#f0055 </text>
    <extLst>
      <x:ext xmlns:xltc2="http://schemas.microsoft.com/office/spreadsheetml/2020/threadedcomments2" uri="{F7C98A9C-CBB3-438F-8F68-D28B6AF4A901}">
        <xltc2:checksum>598414802</xltc2:checksum>
        <xltc2:hyperlink startIndex="11" length="73" url="https://www.sciencedirect.com/science/article/pii/S136403211731242X#f0055"/>
      </x:ext>
    </extLst>
  </threadedComment>
  <threadedComment ref="H4" dT="2022-12-21T10:34:40.77" personId="{9DBE04B2-AE44-48C2-A3BA-9EA936FAE431}" id="{BE52322A-A332-4EA3-AC01-8537B2FB83A7}">
    <text xml:space="preserve">Reference:
https://www.sciencedirect.com/science/article/pii/S136403211731242X#f0055 </text>
    <extLst>
      <x:ext xmlns:xltc2="http://schemas.microsoft.com/office/spreadsheetml/2020/threadedcomments2" uri="{F7C98A9C-CBB3-438F-8F68-D28B6AF4A901}">
        <xltc2:checksum>3385809634</xltc2:checksum>
        <xltc2:hyperlink startIndex="11" length="73" url="https://www.sciencedirect.com/science/article/pii/S136403211731242X#f0055"/>
      </x:ext>
    </extLst>
  </threadedComment>
  <threadedComment ref="H4" dT="2022-12-22T11:27:47.47" personId="{9DBE04B2-AE44-48C2-A3BA-9EA936FAE431}" id="{BD283420-4814-45CF-8EF5-101563584BC8}" parentId="{BE52322A-A332-4EA3-AC01-8537B2FB83A7}">
    <text>Isn't the data for the number of the cell, but starting from the data available in the document, is possible to make an extimation.</text>
  </threadedComment>
</ThreadedComments>
</file>

<file path=xl/threadedComments/threadedComment3.xml><?xml version="1.0" encoding="utf-8"?>
<ThreadedComments xmlns="http://schemas.microsoft.com/office/spreadsheetml/2018/threadedcomments" xmlns:x="http://schemas.openxmlformats.org/spreadsheetml/2006/main">
  <threadedComment ref="B3" dT="2023-01-13T10:47:22.53" personId="{9DBE04B2-AE44-48C2-A3BA-9EA936FAE431}" id="{F67BED40-2A1A-4587-836E-54FEC9A578F3}">
    <text>You can find the formula in the supporting information word document</text>
  </threadedComment>
</ThreadedComments>
</file>

<file path=xl/threadedComments/threadedComment4.xml><?xml version="1.0" encoding="utf-8"?>
<ThreadedComments xmlns="http://schemas.microsoft.com/office/spreadsheetml/2018/threadedcomments" xmlns:x="http://schemas.openxmlformats.org/spreadsheetml/2006/main">
  <threadedComment ref="AB1" dT="2023-02-06T09:03:51.31" personId="{2DF06B7C-9752-4674-A2C6-C060155E4657}" id="{B884036D-B9E7-41BC-9209-D3BB05391B01}">
    <text>Numeratore uguale alla formula della reference, cioè con decommisioning e substitution come opex attualizzati, denominatore non attualizzando l'idrogeno prodotto</text>
  </threadedComment>
  <threadedComment ref="H2" dT="2023-01-18T09:52:34.26" personId="{9DBE04B2-AE44-48C2-A3BA-9EA936FAE431}" id="{D5CFFBE9-E629-43F2-AD5D-6E4C282E0D97}">
    <text>Proporre di fare in 20 anni tanto non cambia</text>
  </threadedComment>
  <threadedComment ref="U2" dT="2023-02-06T09:04:50.12" personId="{2DF06B7C-9752-4674-A2C6-C060155E4657}" id="{782747D0-A971-40AB-B1B5-84EE2E744166}">
    <text>Considero nel capex anche decommisioning e substitution, denominatore non attualizzato</text>
  </threadedComment>
  <threadedComment ref="AA2" dT="2023-02-06T09:04:15.31" personId="{2DF06B7C-9752-4674-A2C6-C060155E4657}" id="{89B30177-15A9-42E5-866D-CCA1AE76C8CF}">
    <text>Formula identica a come fatto nella reference</text>
  </threadedComment>
  <threadedComment ref="A24" dT="2023-01-18T09:33:29.01" personId="{9DBE04B2-AE44-48C2-A3BA-9EA936FAE431}" id="{11634258-43CF-4D61-B703-66884D2416D0}">
    <text>Media fatta da due report</text>
  </threadedComment>
  <threadedComment ref="A24" dT="2023-01-18T09:34:31.09" personId="{9DBE04B2-AE44-48C2-A3BA-9EA936FAE431}" id="{1906824F-E5DD-4799-ADEE-8403FBA47DEB}" parentId="{11634258-43CF-4D61-B703-66884D2416D0}">
    <text>-IEA: https://www.iea.org/commentaries/is-carbon-capture-too-expensive
-A multi-scale framework for CO2capture, utilization, andsequestration: CCUS and CCU</text>
    <extLst>
      <x:ext xmlns:xltc2="http://schemas.microsoft.com/office/spreadsheetml/2020/threadedcomments2" uri="{F7C98A9C-CBB3-438F-8F68-D28B6AF4A901}">
        <xltc2:checksum>2929403639</xltc2:checksum>
        <xltc2:hyperlink startIndex="6" length="64" url="https://www.iea.org/commentaries/is-carbon-capture-too-expensive"/>
      </x:ext>
    </extLst>
  </threadedComment>
  <threadedComment ref="A30" dT="2023-01-18T09:51:28.30" personId="{9DBE04B2-AE44-48C2-A3BA-9EA936FAE431}" id="{06EBA73B-6610-4683-8A89-D7A7D7EDD1DC}">
    <text>Va aggiunto ogni anno di decommisioning o solo alla fine</text>
  </threadedComment>
  <threadedComment ref="A31" dT="2023-01-16T12:56:10.86" personId="{9DBE04B2-AE44-48C2-A3BA-9EA936FAE431}" id="{0C6EC151-FB6C-4BA4-90A1-4F0F1AD01A35}">
    <text>Parla di questo</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energy.gov/eere/fuelcells/doe-technical-targets-hydrogen-delivery" TargetMode="External"/><Relationship Id="rId2" Type="http://schemas.openxmlformats.org/officeDocument/2006/relationships/hyperlink" Target="https://www.energy.gov/eere/fuelcells/doe-technical-targets-hydrogen-delivery" TargetMode="External"/><Relationship Id="rId1" Type="http://schemas.openxmlformats.org/officeDocument/2006/relationships/hyperlink" Target="https://www.indiamart.com/proddetail/methanol-storage-tank-25303131688.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leaseplan.com/it-it/news-auto/futuro-della-mobilita/auto-a-idrogeno-come-funzionano-costi-e-modelli/"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75765-82A9-4EA4-A873-83BDCF07A996}">
  <dimension ref="A1:U20"/>
  <sheetViews>
    <sheetView topLeftCell="A13" workbookViewId="0">
      <selection activeCell="G17" sqref="G17"/>
    </sheetView>
  </sheetViews>
  <sheetFormatPr defaultRowHeight="14.4" x14ac:dyDescent="0.55000000000000004"/>
  <cols>
    <col min="1" max="1" width="13.15625" customWidth="1"/>
    <col min="3" max="3" width="21.578125" customWidth="1"/>
    <col min="4" max="4" width="18.41796875" customWidth="1"/>
    <col min="5" max="5" width="16.26171875" customWidth="1"/>
    <col min="6" max="7" width="11.15625" bestFit="1" customWidth="1"/>
    <col min="9" max="9" width="15.15625" customWidth="1"/>
    <col min="10" max="10" width="12.15625" customWidth="1"/>
  </cols>
  <sheetData>
    <row r="1" spans="1:21" ht="14.7" thickBot="1" x14ac:dyDescent="0.6">
      <c r="A1" s="268" t="s">
        <v>0</v>
      </c>
      <c r="B1" s="269"/>
      <c r="C1" s="270"/>
      <c r="D1" s="268" t="s">
        <v>1</v>
      </c>
      <c r="E1" s="269"/>
      <c r="F1" s="270"/>
    </row>
    <row r="2" spans="1:21" ht="29.1" thickBot="1" x14ac:dyDescent="0.6">
      <c r="A2" s="8" t="s">
        <v>2</v>
      </c>
      <c r="B2" s="33">
        <f>365</f>
        <v>365</v>
      </c>
      <c r="C2" s="35"/>
      <c r="D2" s="8" t="s">
        <v>2</v>
      </c>
      <c r="E2" s="36">
        <f>365</f>
        <v>365</v>
      </c>
      <c r="F2" s="4"/>
      <c r="G2" s="1"/>
      <c r="H2" s="1"/>
      <c r="I2" s="1"/>
      <c r="J2" s="1"/>
      <c r="K2" s="1"/>
      <c r="L2" s="1"/>
      <c r="M2" s="1"/>
      <c r="N2" s="1"/>
      <c r="O2" s="1"/>
      <c r="P2" s="1"/>
      <c r="Q2" s="1"/>
      <c r="R2" s="1"/>
      <c r="S2" s="1"/>
      <c r="T2" s="1"/>
      <c r="U2" s="1"/>
    </row>
    <row r="3" spans="1:21" ht="29.1" thickBot="1" x14ac:dyDescent="0.6">
      <c r="A3" s="9" t="s">
        <v>3</v>
      </c>
      <c r="B3" s="33">
        <v>10</v>
      </c>
      <c r="C3" s="35"/>
      <c r="D3" s="9" t="s">
        <v>4</v>
      </c>
      <c r="E3" s="37">
        <v>600</v>
      </c>
      <c r="F3" s="3"/>
      <c r="G3" s="1"/>
      <c r="H3" s="1"/>
      <c r="I3" s="23" t="s">
        <v>5</v>
      </c>
      <c r="J3" s="11">
        <f>B9+E9</f>
        <v>930600</v>
      </c>
      <c r="K3" s="22" t="s">
        <v>6</v>
      </c>
      <c r="L3" s="1"/>
      <c r="M3" s="1"/>
      <c r="N3" s="1"/>
      <c r="O3" s="1"/>
      <c r="P3" s="1"/>
      <c r="Q3" s="1"/>
      <c r="R3" s="1"/>
      <c r="S3" s="1"/>
      <c r="T3" s="1"/>
      <c r="U3" s="1"/>
    </row>
    <row r="4" spans="1:21" ht="43.2" x14ac:dyDescent="0.55000000000000004">
      <c r="A4" s="9" t="s">
        <v>7</v>
      </c>
      <c r="B4" s="33">
        <f>INT(B2/B3)</f>
        <v>36</v>
      </c>
      <c r="C4" s="35"/>
      <c r="D4" s="9" t="s">
        <v>3</v>
      </c>
      <c r="E4" s="37">
        <v>10</v>
      </c>
      <c r="F4" s="3"/>
      <c r="G4" s="1"/>
      <c r="H4" s="1"/>
      <c r="I4" s="34" t="s">
        <v>8</v>
      </c>
      <c r="J4" s="70">
        <f>J3/'caratteristiche cella '!S18</f>
        <v>7.4124401069711743</v>
      </c>
      <c r="K4" s="1"/>
      <c r="L4" s="1"/>
      <c r="M4" s="1"/>
      <c r="N4" s="1"/>
      <c r="O4" s="1"/>
      <c r="P4" s="1"/>
      <c r="Q4" s="1"/>
      <c r="R4" s="1"/>
      <c r="S4" s="1"/>
      <c r="T4" s="1"/>
      <c r="U4" s="1"/>
    </row>
    <row r="5" spans="1:21" ht="29.1" thickBot="1" x14ac:dyDescent="0.6">
      <c r="A5" s="10" t="s">
        <v>9</v>
      </c>
      <c r="B5" s="38">
        <v>5</v>
      </c>
      <c r="C5" s="39"/>
      <c r="D5" s="9" t="s">
        <v>10</v>
      </c>
      <c r="E5" s="40">
        <f>INT(E2/E4)</f>
        <v>36</v>
      </c>
      <c r="F5" s="6"/>
      <c r="G5" s="1"/>
      <c r="H5" s="1"/>
      <c r="I5" s="1"/>
      <c r="J5" s="1"/>
      <c r="K5" s="1"/>
      <c r="L5" s="1"/>
      <c r="M5" s="1"/>
      <c r="N5" s="1"/>
      <c r="O5" s="1"/>
      <c r="P5" s="1"/>
      <c r="Q5" s="1"/>
      <c r="R5" s="1"/>
      <c r="S5" s="1"/>
      <c r="T5" s="1"/>
      <c r="U5" s="1"/>
    </row>
    <row r="6" spans="1:21" ht="29.1" thickBot="1" x14ac:dyDescent="0.6">
      <c r="A6" s="11" t="s">
        <v>11</v>
      </c>
      <c r="B6" s="41">
        <v>850</v>
      </c>
      <c r="C6" s="22"/>
      <c r="D6" s="9" t="s">
        <v>9</v>
      </c>
      <c r="E6" s="37">
        <v>9</v>
      </c>
      <c r="F6" s="3"/>
      <c r="G6" s="1"/>
      <c r="H6" s="1"/>
      <c r="I6" s="1"/>
      <c r="J6" s="1"/>
      <c r="K6" s="1"/>
      <c r="L6" s="1"/>
      <c r="M6" s="1"/>
      <c r="N6" s="1"/>
      <c r="O6" s="1"/>
      <c r="P6" s="1"/>
      <c r="Q6" s="1"/>
      <c r="R6" s="1"/>
      <c r="S6" s="1"/>
      <c r="T6" s="1"/>
      <c r="U6" s="1"/>
    </row>
    <row r="7" spans="1:21" ht="14.7" thickBot="1" x14ac:dyDescent="0.6">
      <c r="B7" s="42"/>
      <c r="C7" s="42"/>
      <c r="D7" s="11" t="s">
        <v>12</v>
      </c>
      <c r="E7" s="43">
        <v>4</v>
      </c>
      <c r="F7" s="13"/>
      <c r="G7" s="1"/>
      <c r="H7" s="1"/>
      <c r="I7" s="1"/>
      <c r="J7" s="1"/>
      <c r="K7" s="1"/>
      <c r="L7" s="1"/>
      <c r="M7" s="1"/>
      <c r="N7" s="1"/>
      <c r="O7" s="1"/>
      <c r="P7" s="1"/>
      <c r="Q7" s="1"/>
      <c r="R7" s="1"/>
      <c r="S7" s="1"/>
      <c r="T7" s="1"/>
      <c r="U7" s="1"/>
    </row>
    <row r="8" spans="1:21" ht="43.5" thickBot="1" x14ac:dyDescent="0.6">
      <c r="A8" s="12" t="s">
        <v>13</v>
      </c>
      <c r="B8" s="41">
        <f>B5*B4</f>
        <v>180</v>
      </c>
      <c r="C8" s="41" t="s">
        <v>14</v>
      </c>
      <c r="D8" s="12" t="s">
        <v>15</v>
      </c>
      <c r="E8" s="41">
        <f>E6*E3*E5</f>
        <v>194400</v>
      </c>
      <c r="F8" s="22" t="s">
        <v>14</v>
      </c>
      <c r="G8" s="1"/>
      <c r="H8" s="1"/>
      <c r="I8" s="1"/>
      <c r="J8" s="1"/>
      <c r="K8" s="1"/>
      <c r="L8" s="1"/>
      <c r="M8" s="1"/>
      <c r="N8" s="1"/>
      <c r="O8" s="1"/>
      <c r="P8" s="1"/>
      <c r="Q8" s="1"/>
      <c r="R8" s="1"/>
      <c r="S8" s="1"/>
      <c r="T8" s="1"/>
      <c r="U8" s="1"/>
    </row>
    <row r="9" spans="1:21" ht="43.5" thickBot="1" x14ac:dyDescent="0.6">
      <c r="A9" s="12" t="s">
        <v>16</v>
      </c>
      <c r="B9" s="44">
        <f>B8*B6</f>
        <v>153000</v>
      </c>
      <c r="C9" s="33" t="s">
        <v>17</v>
      </c>
      <c r="D9" s="12" t="s">
        <v>18</v>
      </c>
      <c r="E9" s="44">
        <f>E8*E7</f>
        <v>777600</v>
      </c>
      <c r="F9" s="33"/>
      <c r="G9" s="1"/>
      <c r="H9" s="1"/>
      <c r="I9" s="1"/>
      <c r="J9" s="1"/>
      <c r="K9" s="1"/>
      <c r="L9" s="1"/>
      <c r="M9" s="1"/>
      <c r="N9" s="1"/>
      <c r="O9" s="1"/>
      <c r="P9" s="1"/>
      <c r="Q9" s="1"/>
      <c r="R9" s="1"/>
      <c r="S9" s="1"/>
      <c r="T9" s="1"/>
      <c r="U9" s="1"/>
    </row>
    <row r="10" spans="1:21" x14ac:dyDescent="0.55000000000000004">
      <c r="A10" s="1"/>
      <c r="B10" s="1"/>
      <c r="C10" s="1"/>
      <c r="D10" s="1"/>
      <c r="E10" s="1"/>
      <c r="F10" s="1"/>
      <c r="G10" s="1"/>
      <c r="H10" s="1"/>
      <c r="I10" s="1"/>
      <c r="J10" s="1"/>
      <c r="K10" s="1"/>
      <c r="L10" s="1"/>
      <c r="M10" s="1"/>
      <c r="N10" s="1"/>
      <c r="O10" s="1"/>
      <c r="P10" s="1"/>
      <c r="Q10" s="1"/>
      <c r="R10" s="1"/>
      <c r="S10" s="1"/>
      <c r="T10" s="1"/>
      <c r="U10" s="1"/>
    </row>
    <row r="11" spans="1:21" ht="30" customHeight="1" x14ac:dyDescent="0.55000000000000004">
      <c r="A11" s="66" t="s">
        <v>19</v>
      </c>
      <c r="B11" s="1"/>
      <c r="C11" s="1"/>
      <c r="D11" s="1"/>
      <c r="E11" s="1"/>
      <c r="F11" s="68" t="s">
        <v>20</v>
      </c>
      <c r="G11" s="1" t="s">
        <v>21</v>
      </c>
      <c r="H11" s="1"/>
      <c r="I11" s="1"/>
      <c r="J11" s="68" t="s">
        <v>22</v>
      </c>
      <c r="K11" s="67" t="s">
        <v>23</v>
      </c>
      <c r="L11" s="1"/>
      <c r="M11" s="1"/>
      <c r="N11" s="1"/>
      <c r="O11" s="1"/>
      <c r="P11" s="1"/>
      <c r="Q11" s="1"/>
      <c r="R11" s="1"/>
      <c r="S11" s="1"/>
      <c r="T11" s="1"/>
      <c r="U11" s="1"/>
    </row>
    <row r="12" spans="1:21" ht="61.15" customHeight="1" x14ac:dyDescent="0.55000000000000004">
      <c r="A12" s="1" t="s">
        <v>24</v>
      </c>
      <c r="B12" s="33">
        <v>455</v>
      </c>
      <c r="C12" s="1" t="s">
        <v>25</v>
      </c>
      <c r="D12" s="1">
        <v>0.79</v>
      </c>
      <c r="F12" s="1" t="s">
        <v>26</v>
      </c>
      <c r="G12" s="1">
        <v>600</v>
      </c>
      <c r="H12" s="67" t="s">
        <v>23</v>
      </c>
      <c r="I12" s="1"/>
      <c r="J12" s="1" t="s">
        <v>27</v>
      </c>
      <c r="K12" s="1">
        <v>2.8</v>
      </c>
      <c r="L12" s="1"/>
      <c r="M12" s="1"/>
      <c r="N12" s="1"/>
      <c r="O12" s="1"/>
      <c r="P12" s="1"/>
      <c r="Q12" s="1"/>
      <c r="R12" s="1"/>
      <c r="S12" s="1"/>
      <c r="T12" s="1"/>
      <c r="U12" s="1"/>
    </row>
    <row r="13" spans="1:21" ht="43.2" x14ac:dyDescent="0.55000000000000004">
      <c r="A13" s="1" t="s">
        <v>28</v>
      </c>
      <c r="B13" s="33">
        <v>4963.2</v>
      </c>
      <c r="C13" s="1" t="s">
        <v>29</v>
      </c>
      <c r="D13" s="1">
        <f>B13*1000/365</f>
        <v>13597.808219178081</v>
      </c>
      <c r="E13" s="1"/>
      <c r="F13" s="69" t="s">
        <v>30</v>
      </c>
      <c r="G13">
        <f>'caratteristiche cella '!S18*'output H2'!J4/365</f>
        <v>2549.5890410958905</v>
      </c>
      <c r="H13" s="1"/>
      <c r="I13" s="1"/>
      <c r="J13" s="69" t="s">
        <v>31</v>
      </c>
      <c r="K13">
        <f>K12*J3/1000</f>
        <v>2605.6799999999998</v>
      </c>
      <c r="M13" s="1"/>
      <c r="N13" s="1"/>
      <c r="O13" s="1"/>
      <c r="P13" s="1"/>
      <c r="Q13" s="1"/>
      <c r="R13" s="1"/>
      <c r="S13" s="1"/>
      <c r="T13" s="1"/>
      <c r="U13" s="1"/>
    </row>
    <row r="14" spans="1:21" ht="63.6" customHeight="1" x14ac:dyDescent="0.55000000000000004">
      <c r="A14" s="33" t="s">
        <v>32</v>
      </c>
      <c r="B14" s="33">
        <f>17060/10^6</f>
        <v>1.7059999999999999E-2</v>
      </c>
      <c r="C14" s="67" t="s">
        <v>33</v>
      </c>
      <c r="D14" s="1"/>
      <c r="F14" s="69" t="s">
        <v>34</v>
      </c>
      <c r="G14">
        <f>G13*7</f>
        <v>17847.123287671235</v>
      </c>
      <c r="I14" s="1"/>
      <c r="J14" s="1" t="s">
        <v>35</v>
      </c>
      <c r="K14" s="1">
        <v>100</v>
      </c>
      <c r="L14" s="1"/>
      <c r="M14" s="1"/>
      <c r="N14" s="1"/>
      <c r="O14" s="1"/>
      <c r="P14" s="1"/>
      <c r="Q14" s="1"/>
      <c r="R14" s="1"/>
      <c r="S14" s="1"/>
      <c r="T14" s="1"/>
      <c r="U14" s="1"/>
    </row>
    <row r="15" spans="1:21" ht="43.2" x14ac:dyDescent="0.55000000000000004">
      <c r="A15" s="1" t="s">
        <v>36</v>
      </c>
      <c r="B15" s="1">
        <v>12</v>
      </c>
      <c r="C15" s="1"/>
      <c r="D15" s="1"/>
      <c r="E15" s="1"/>
      <c r="F15" s="1" t="s">
        <v>37</v>
      </c>
      <c r="G15" s="1">
        <f>G14*G12/10^6</f>
        <v>10.70827397260274</v>
      </c>
      <c r="H15" s="1"/>
      <c r="I15" s="1"/>
      <c r="J15" s="1" t="s">
        <v>38</v>
      </c>
      <c r="K15" s="1">
        <v>3</v>
      </c>
      <c r="L15" s="1" t="s">
        <v>39</v>
      </c>
      <c r="M15" s="1"/>
      <c r="N15" s="1"/>
      <c r="O15" s="1"/>
      <c r="P15" s="1"/>
      <c r="Q15" s="1"/>
      <c r="R15" s="1"/>
      <c r="S15" s="1"/>
      <c r="T15" s="1"/>
      <c r="U15" s="1"/>
    </row>
    <row r="16" spans="1:21" ht="43.2" x14ac:dyDescent="0.55000000000000004">
      <c r="A16" s="1" t="s">
        <v>40</v>
      </c>
      <c r="B16" s="1">
        <f>B15*15000</f>
        <v>180000</v>
      </c>
      <c r="E16" s="1"/>
      <c r="F16" s="1" t="s">
        <v>41</v>
      </c>
      <c r="G16" s="1">
        <v>3</v>
      </c>
      <c r="H16" s="1"/>
      <c r="I16" s="1"/>
      <c r="J16" s="1" t="s">
        <v>42</v>
      </c>
      <c r="K16" s="1">
        <v>225000</v>
      </c>
      <c r="L16" s="1"/>
      <c r="M16" s="1"/>
      <c r="N16" s="1"/>
      <c r="O16" s="1"/>
      <c r="P16" s="1"/>
      <c r="Q16" s="1"/>
      <c r="R16" s="1"/>
      <c r="S16" s="1"/>
      <c r="T16" s="1"/>
      <c r="U16" s="1"/>
    </row>
    <row r="17" spans="1:21" ht="57.6" x14ac:dyDescent="0.55000000000000004">
      <c r="A17" s="33" t="s">
        <v>43</v>
      </c>
      <c r="B17" s="33">
        <f>D13/D12</f>
        <v>17212.415467314026</v>
      </c>
      <c r="C17" s="1"/>
      <c r="D17" s="1"/>
      <c r="E17" s="1"/>
      <c r="F17" s="69" t="s">
        <v>44</v>
      </c>
      <c r="G17" s="1">
        <f>G13/24</f>
        <v>106.23287671232877</v>
      </c>
      <c r="H17" s="1"/>
      <c r="I17" s="1"/>
      <c r="J17" s="1" t="s">
        <v>45</v>
      </c>
      <c r="K17" s="1">
        <f>K16*K15/10^6</f>
        <v>0.67500000000000004</v>
      </c>
      <c r="L17" s="1"/>
      <c r="M17" s="1"/>
      <c r="N17" s="1"/>
      <c r="O17" s="1"/>
      <c r="P17" s="1"/>
      <c r="Q17" s="1"/>
      <c r="R17" s="1"/>
      <c r="S17" s="1"/>
      <c r="T17" s="1"/>
      <c r="U17" s="1"/>
    </row>
    <row r="18" spans="1:21" ht="57.6" x14ac:dyDescent="0.55000000000000004">
      <c r="A18" s="1" t="s">
        <v>46</v>
      </c>
      <c r="B18" s="33">
        <f>B16/B17</f>
        <v>10.457567698259188</v>
      </c>
      <c r="C18" s="1"/>
      <c r="D18" s="1"/>
      <c r="E18" s="1"/>
      <c r="F18" s="1"/>
      <c r="G18" s="1"/>
      <c r="H18" s="1"/>
      <c r="I18" s="1"/>
      <c r="J18" s="1" t="s">
        <v>47</v>
      </c>
      <c r="K18" s="1">
        <f>0.04*K17</f>
        <v>2.7000000000000003E-2</v>
      </c>
      <c r="L18" s="1"/>
      <c r="M18" s="1"/>
      <c r="N18" s="1"/>
      <c r="O18" s="1"/>
      <c r="P18" s="1"/>
      <c r="Q18" s="1"/>
      <c r="R18" s="1"/>
      <c r="S18" s="1"/>
      <c r="T18" s="1"/>
      <c r="U18" s="1"/>
    </row>
    <row r="19" spans="1:21" x14ac:dyDescent="0.55000000000000004">
      <c r="A19" s="1"/>
      <c r="B19" s="1"/>
      <c r="C19" s="1"/>
      <c r="D19" s="1"/>
      <c r="E19" s="1"/>
      <c r="F19" s="1"/>
      <c r="G19" s="1"/>
      <c r="H19" s="1"/>
      <c r="I19" s="1"/>
      <c r="J19" s="1"/>
      <c r="K19" s="1"/>
      <c r="L19" s="1"/>
      <c r="M19" s="1"/>
      <c r="N19" s="1"/>
      <c r="O19" s="1"/>
      <c r="P19" s="1"/>
      <c r="Q19" s="1"/>
      <c r="R19" s="1"/>
      <c r="S19" s="1"/>
      <c r="T19" s="1"/>
      <c r="U19" s="1"/>
    </row>
    <row r="20" spans="1:21" x14ac:dyDescent="0.55000000000000004">
      <c r="A20" s="1"/>
      <c r="B20" s="1"/>
      <c r="C20" s="1"/>
      <c r="D20" s="1"/>
      <c r="E20" s="1"/>
      <c r="F20" s="1"/>
      <c r="G20" s="1"/>
      <c r="H20" s="1"/>
      <c r="I20" s="1"/>
      <c r="J20" s="1"/>
      <c r="K20" s="1"/>
      <c r="L20" s="1"/>
      <c r="M20" s="1"/>
      <c r="N20" s="1"/>
      <c r="O20" s="1"/>
      <c r="P20" s="1"/>
      <c r="Q20" s="1"/>
      <c r="R20" s="1"/>
      <c r="S20" s="1"/>
      <c r="T20" s="1"/>
      <c r="U20" s="1"/>
    </row>
  </sheetData>
  <mergeCells count="2">
    <mergeCell ref="A1:C1"/>
    <mergeCell ref="D1:F1"/>
  </mergeCells>
  <hyperlinks>
    <hyperlink ref="C14" r:id="rId1" xr:uid="{7E883BDB-76D7-42A3-8F8F-C0C4A19C3F82}"/>
    <hyperlink ref="H12" r:id="rId2" xr:uid="{5421C2DF-2B8F-43B5-8190-D0B30BAD1F15}"/>
    <hyperlink ref="K11" r:id="rId3" xr:uid="{CFC81B51-D74E-416B-A83F-8C3AF8047E8B}"/>
  </hyperlinks>
  <pageMargins left="0.7" right="0.7" top="0.75" bottom="0.75" header="0.3" footer="0.3"/>
  <pageSetup paperSize="9" orientation="portrait"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D9538-FB7E-41AC-B624-82E21E914D1F}">
  <dimension ref="A1:W28"/>
  <sheetViews>
    <sheetView topLeftCell="G1" zoomScale="97" workbookViewId="0">
      <selection activeCell="S18" sqref="S18"/>
    </sheetView>
  </sheetViews>
  <sheetFormatPr defaultRowHeight="14.4" x14ac:dyDescent="0.55000000000000004"/>
  <cols>
    <col min="1" max="1" width="11.68359375" bestFit="1" customWidth="1"/>
    <col min="2" max="2" width="16.578125" bestFit="1" customWidth="1"/>
    <col min="3" max="3" width="16.15625" bestFit="1" customWidth="1"/>
    <col min="4" max="5" width="16.15625" customWidth="1"/>
    <col min="6" max="6" width="12.578125" customWidth="1"/>
    <col min="7" max="7" width="15" bestFit="1" customWidth="1"/>
    <col min="8" max="8" width="25" bestFit="1" customWidth="1"/>
    <col min="9" max="9" width="16.578125" bestFit="1" customWidth="1"/>
  </cols>
  <sheetData>
    <row r="1" spans="1:23" ht="14.7" thickBot="1" x14ac:dyDescent="0.6">
      <c r="A1" s="271" t="s">
        <v>48</v>
      </c>
      <c r="B1" s="272"/>
      <c r="C1" s="273"/>
      <c r="D1" s="71"/>
      <c r="E1" s="71"/>
      <c r="I1" t="s">
        <v>49</v>
      </c>
      <c r="J1" s="274" t="s">
        <v>50</v>
      </c>
      <c r="K1" s="275"/>
      <c r="L1" s="275"/>
      <c r="M1" s="276"/>
      <c r="P1" s="271" t="s">
        <v>51</v>
      </c>
      <c r="Q1" s="272"/>
      <c r="R1" s="272"/>
      <c r="S1" s="273"/>
    </row>
    <row r="2" spans="1:23" ht="14.7" thickBot="1" x14ac:dyDescent="0.6">
      <c r="A2" s="18" t="s">
        <v>52</v>
      </c>
      <c r="B2" s="18" t="s">
        <v>53</v>
      </c>
      <c r="C2" s="18" t="s">
        <v>54</v>
      </c>
      <c r="D2" s="18" t="s">
        <v>55</v>
      </c>
      <c r="E2" s="18"/>
      <c r="F2" s="18" t="s">
        <v>56</v>
      </c>
      <c r="G2" s="18" t="s">
        <v>57</v>
      </c>
      <c r="H2" s="18" t="s">
        <v>58</v>
      </c>
      <c r="I2" s="18" t="s">
        <v>59</v>
      </c>
      <c r="J2" s="17" t="s">
        <v>60</v>
      </c>
      <c r="K2" s="18" t="s">
        <v>61</v>
      </c>
      <c r="L2" s="19" t="s">
        <v>62</v>
      </c>
      <c r="M2" s="20" t="s">
        <v>63</v>
      </c>
      <c r="P2" s="17" t="s">
        <v>60</v>
      </c>
      <c r="Q2" s="18" t="s">
        <v>61</v>
      </c>
      <c r="R2" s="19" t="s">
        <v>62</v>
      </c>
      <c r="S2" s="20" t="s">
        <v>63</v>
      </c>
    </row>
    <row r="3" spans="1:23" ht="14.7" thickBot="1" x14ac:dyDescent="0.6">
      <c r="A3" s="29">
        <v>0.31821729871961801</v>
      </c>
      <c r="B3" s="30">
        <v>9.9695947435167103</v>
      </c>
      <c r="C3" s="21">
        <f>A3*B3</f>
        <v>3.1724975086111904</v>
      </c>
      <c r="D3" s="25">
        <f>(P3/100/24/365/3600)*($B$28)/(C3*$I$3/1000)</f>
        <v>3.9083879000181336</v>
      </c>
      <c r="E3" s="25">
        <f>1/D3</f>
        <v>0.25585996722468624</v>
      </c>
      <c r="F3" s="25">
        <v>100</v>
      </c>
      <c r="G3" s="26">
        <f>24*365</f>
        <v>8760</v>
      </c>
      <c r="H3" s="26">
        <f>G3*3600</f>
        <v>31536000</v>
      </c>
      <c r="I3" s="26">
        <v>1200</v>
      </c>
      <c r="J3" s="24">
        <f>$G$3*$F$3*C3*$I$3/10^6</f>
        <v>3334.9293810520835</v>
      </c>
      <c r="K3" s="21">
        <f>$G$3*$F$4*C3*$I$3/10^6</f>
        <v>16674.646905260415</v>
      </c>
      <c r="L3" s="21">
        <f>$G$3*$F$5*C3*$I$3/10^6</f>
        <v>33349.29381052083</v>
      </c>
      <c r="M3" s="25">
        <f>$G$3*$F$6*C3*$I$3/10^6</f>
        <v>66698.587621041661</v>
      </c>
      <c r="P3" s="24">
        <f>B3*$B$27*$H$3*$F$3*$I$3/$B$26/$B$25/1000/1000</f>
        <v>391.02592920956783</v>
      </c>
      <c r="Q3" s="21">
        <f>B3*$B$27*$H$3*$F$4*$I$3/$B$26/$B$25/1000/1000</f>
        <v>1955.1296460478395</v>
      </c>
      <c r="R3" s="21">
        <f>B3*$B$27*$H$3*$F$5*$I$3/$B$26/$B$25/1000/1000</f>
        <v>3910.259292095679</v>
      </c>
      <c r="S3" s="25">
        <f>B3*$B$27*$H$3*$F$6*$I$3/$B$26/$B$25/1000/1000</f>
        <v>7820.5185841913581</v>
      </c>
      <c r="W3">
        <f>(P3*B28/3600/1000)/J3</f>
        <v>3.9083879000181345</v>
      </c>
    </row>
    <row r="4" spans="1:23" ht="14.7" thickBot="1" x14ac:dyDescent="0.6">
      <c r="A4" s="14">
        <v>0.35474209255642364</v>
      </c>
      <c r="B4" s="31">
        <v>19.977135128445092</v>
      </c>
      <c r="C4" s="7">
        <f t="shared" ref="C4:C22" si="0">A4*B4</f>
        <v>7.0867307187470505</v>
      </c>
      <c r="D4" s="25">
        <f t="shared" ref="D4:D22" si="1">(P4/100/24/365/3600)*($B$28)/(C4*$I$3/1000)</f>
        <v>3.5059742443572346</v>
      </c>
      <c r="E4" s="25">
        <f t="shared" ref="E4:E22" si="2">1/D4</f>
        <v>0.28522742333588774</v>
      </c>
      <c r="F4" s="56">
        <v>500</v>
      </c>
      <c r="G4" t="s">
        <v>64</v>
      </c>
      <c r="J4" s="5">
        <f>$G$3*$F$3*C4*$I$3/10^6</f>
        <v>7449.5713315468993</v>
      </c>
      <c r="K4" s="7">
        <f t="shared" ref="K4:K22" si="3">$G$3*$F$4*C4*$I$3/10^6</f>
        <v>37247.856657734497</v>
      </c>
      <c r="L4" s="21">
        <f t="shared" ref="L4:L22" si="4">$G$3*$F$5*C4*$I$3/10^6</f>
        <v>74495.713315468995</v>
      </c>
      <c r="M4" s="6">
        <f t="shared" ref="M4:M22" si="5">$G$3*$F$6*C4*$I$3/10^6</f>
        <v>148991.42663093799</v>
      </c>
      <c r="P4" s="24">
        <f t="shared" ref="P4:P22" si="6">B4*$B$27*$H$3*$F$3*$I$3/$B$26/$B$25/1000/1000</f>
        <v>783.54015659716356</v>
      </c>
      <c r="Q4" s="21">
        <f t="shared" ref="Q4:Q22" si="7">B4*$B$27*$H$3*$F$4*$I$3/$B$26/$B$25/1000/1000</f>
        <v>3917.700782985818</v>
      </c>
      <c r="R4" s="21">
        <f t="shared" ref="R4:R22" si="8">B4*$B$27*$H$3*$F$5*$I$3/$B$26/$B$25/1000/1000</f>
        <v>7835.401565971636</v>
      </c>
      <c r="S4" s="25">
        <f t="shared" ref="S4:S22" si="9">B4*$B$27*$H$3*$F$6*$I$3/$B$26/$B$25/1000/1000</f>
        <v>15670.803131943272</v>
      </c>
    </row>
    <row r="5" spans="1:23" ht="14.7" thickBot="1" x14ac:dyDescent="0.6">
      <c r="A5" s="14">
        <v>0.38751712375217012</v>
      </c>
      <c r="B5" s="31">
        <v>29.990906185573998</v>
      </c>
      <c r="C5" s="7">
        <f t="shared" si="0"/>
        <v>11.621989703754803</v>
      </c>
      <c r="D5" s="25">
        <f t="shared" si="1"/>
        <v>3.2094495021273142</v>
      </c>
      <c r="E5" s="25">
        <f t="shared" si="2"/>
        <v>0.31157991404356777</v>
      </c>
      <c r="F5" s="6">
        <v>1000</v>
      </c>
      <c r="J5" s="5">
        <f t="shared" ref="J5:J22" si="10">$G$3*$F$3*C5*$I$3/10^6</f>
        <v>12217.03557658705</v>
      </c>
      <c r="K5" s="7">
        <f t="shared" si="3"/>
        <v>61085.177882935248</v>
      </c>
      <c r="L5" s="21">
        <f t="shared" si="4"/>
        <v>122170.3557658705</v>
      </c>
      <c r="M5" s="6">
        <f t="shared" si="5"/>
        <v>244340.71153174099</v>
      </c>
      <c r="P5" s="24">
        <f t="shared" si="6"/>
        <v>1176.2987624624698</v>
      </c>
      <c r="Q5" s="21">
        <f t="shared" si="7"/>
        <v>5881.4938123123493</v>
      </c>
      <c r="R5" s="21">
        <f t="shared" si="8"/>
        <v>11762.987624624699</v>
      </c>
      <c r="S5" s="25">
        <f t="shared" si="9"/>
        <v>23525.975249249397</v>
      </c>
    </row>
    <row r="6" spans="1:23" ht="14.7" thickBot="1" x14ac:dyDescent="0.6">
      <c r="A6" s="14">
        <v>0.41846110026041666</v>
      </c>
      <c r="B6" s="31">
        <v>39.920806884765625</v>
      </c>
      <c r="C6" s="7">
        <f t="shared" si="0"/>
        <v>16.705304772282641</v>
      </c>
      <c r="D6" s="25">
        <f t="shared" si="1"/>
        <v>2.9721200826509833</v>
      </c>
      <c r="E6" s="25">
        <f t="shared" si="2"/>
        <v>0.3364601604885526</v>
      </c>
      <c r="F6" s="13">
        <v>2000</v>
      </c>
      <c r="J6" s="5">
        <f t="shared" si="10"/>
        <v>17560.616376623511</v>
      </c>
      <c r="K6" s="7">
        <f t="shared" si="3"/>
        <v>87803.081883117557</v>
      </c>
      <c r="L6" s="21">
        <f t="shared" si="4"/>
        <v>175606.16376623511</v>
      </c>
      <c r="M6" s="6">
        <f t="shared" si="5"/>
        <v>351212.32753247023</v>
      </c>
      <c r="P6" s="24">
        <f t="shared" si="6"/>
        <v>1565.7678179007748</v>
      </c>
      <c r="Q6" s="21">
        <f t="shared" si="7"/>
        <v>7828.8390895038738</v>
      </c>
      <c r="R6" s="21">
        <f t="shared" si="8"/>
        <v>15657.678179007748</v>
      </c>
      <c r="S6" s="25">
        <f t="shared" si="9"/>
        <v>31315.356358015495</v>
      </c>
    </row>
    <row r="7" spans="1:23" ht="14.7" thickBot="1" x14ac:dyDescent="0.6">
      <c r="A7" s="14">
        <v>0.4482911851671007</v>
      </c>
      <c r="B7" s="31">
        <v>49.93438720703125</v>
      </c>
      <c r="C7" s="7">
        <f t="shared" si="0"/>
        <v>22.385145621632951</v>
      </c>
      <c r="D7" s="25">
        <f t="shared" si="1"/>
        <v>2.7743499784155143</v>
      </c>
      <c r="E7" s="25">
        <f t="shared" si="2"/>
        <v>0.36044479167373095</v>
      </c>
      <c r="J7" s="5">
        <f t="shared" si="10"/>
        <v>23531.265077460561</v>
      </c>
      <c r="K7" s="7">
        <f t="shared" si="3"/>
        <v>117656.3253873028</v>
      </c>
      <c r="L7" s="21">
        <f t="shared" si="4"/>
        <v>235312.6507746056</v>
      </c>
      <c r="M7" s="6">
        <f t="shared" si="5"/>
        <v>470625.3015492112</v>
      </c>
      <c r="P7" s="24">
        <f t="shared" si="6"/>
        <v>1958.5189427922735</v>
      </c>
      <c r="Q7" s="21">
        <f t="shared" si="7"/>
        <v>9792.5947139613672</v>
      </c>
      <c r="R7" s="21">
        <f t="shared" si="8"/>
        <v>19585.189427922734</v>
      </c>
      <c r="S7" s="25">
        <f t="shared" si="9"/>
        <v>39170.378855845469</v>
      </c>
    </row>
    <row r="8" spans="1:23" ht="14.7" thickBot="1" x14ac:dyDescent="0.6">
      <c r="A8" s="14">
        <v>0.4768775092230903</v>
      </c>
      <c r="B8" s="31">
        <v>59.96682908799913</v>
      </c>
      <c r="C8" s="7">
        <f t="shared" si="0"/>
        <v>28.596832091491784</v>
      </c>
      <c r="D8" s="25">
        <f t="shared" si="1"/>
        <v>2.6080421404616554</v>
      </c>
      <c r="E8" s="25">
        <f t="shared" si="2"/>
        <v>0.38342938731158221</v>
      </c>
      <c r="J8" s="5">
        <f t="shared" si="10"/>
        <v>30060.989894576163</v>
      </c>
      <c r="K8" s="7">
        <f t="shared" si="3"/>
        <v>150304.94947288083</v>
      </c>
      <c r="L8" s="21">
        <f t="shared" si="4"/>
        <v>300609.89894576167</v>
      </c>
      <c r="M8" s="6">
        <f t="shared" si="5"/>
        <v>601219.79789152334</v>
      </c>
      <c r="P8" s="24">
        <f t="shared" si="6"/>
        <v>2352.0098528713984</v>
      </c>
      <c r="Q8" s="21">
        <f t="shared" si="7"/>
        <v>11760.049264356992</v>
      </c>
      <c r="R8" s="21">
        <f t="shared" si="8"/>
        <v>23520.098528713985</v>
      </c>
      <c r="S8" s="25">
        <f t="shared" si="9"/>
        <v>47040.197057427969</v>
      </c>
    </row>
    <row r="9" spans="1:23" ht="14.7" thickBot="1" x14ac:dyDescent="0.6">
      <c r="A9" s="14">
        <v>0.50444200303819442</v>
      </c>
      <c r="B9" s="31">
        <v>69.979243808322479</v>
      </c>
      <c r="C9" s="7">
        <f t="shared" si="0"/>
        <v>35.300469917768353</v>
      </c>
      <c r="D9" s="25">
        <f t="shared" si="1"/>
        <v>2.4655295007185236</v>
      </c>
      <c r="E9" s="25">
        <f t="shared" si="2"/>
        <v>0.4055923888595015</v>
      </c>
      <c r="J9" s="5">
        <f t="shared" si="10"/>
        <v>37107.853977558087</v>
      </c>
      <c r="K9" s="7">
        <f t="shared" si="3"/>
        <v>185539.26988779046</v>
      </c>
      <c r="L9" s="21">
        <f t="shared" si="4"/>
        <v>371078.53977558092</v>
      </c>
      <c r="M9" s="6">
        <f t="shared" si="5"/>
        <v>742157.07955116185</v>
      </c>
      <c r="P9" s="24">
        <f t="shared" si="6"/>
        <v>2744.7152607007406</v>
      </c>
      <c r="Q9" s="21">
        <f t="shared" si="7"/>
        <v>13723.576303503702</v>
      </c>
      <c r="R9" s="21">
        <f t="shared" si="8"/>
        <v>27447.152607007403</v>
      </c>
      <c r="S9" s="25">
        <f t="shared" si="9"/>
        <v>54894.305214014807</v>
      </c>
    </row>
    <row r="10" spans="1:23" ht="14.7" thickBot="1" x14ac:dyDescent="0.6">
      <c r="A10" s="14">
        <v>0.53115471733940978</v>
      </c>
      <c r="B10" s="31">
        <v>79.99420166015625</v>
      </c>
      <c r="C10" s="7">
        <f t="shared" si="0"/>
        <v>42.48929757159204</v>
      </c>
      <c r="D10" s="25">
        <f t="shared" si="1"/>
        <v>2.3415336422541304</v>
      </c>
      <c r="E10" s="25">
        <f t="shared" si="2"/>
        <v>0.42707052418744124</v>
      </c>
      <c r="J10" s="5">
        <f t="shared" si="10"/>
        <v>44664.749607257552</v>
      </c>
      <c r="K10" s="7">
        <f t="shared" si="3"/>
        <v>223323.74803628775</v>
      </c>
      <c r="L10" s="21">
        <f t="shared" si="4"/>
        <v>446647.49607257551</v>
      </c>
      <c r="M10" s="6">
        <f t="shared" si="5"/>
        <v>893294.99214515102</v>
      </c>
      <c r="P10" s="24">
        <f t="shared" si="6"/>
        <v>3137.520414847515</v>
      </c>
      <c r="Q10" s="21">
        <f t="shared" si="7"/>
        <v>15687.602074237575</v>
      </c>
      <c r="R10" s="21">
        <f t="shared" si="8"/>
        <v>31375.20414847515</v>
      </c>
      <c r="S10" s="25">
        <f t="shared" si="9"/>
        <v>62750.4082969503</v>
      </c>
    </row>
    <row r="11" spans="1:23" ht="14.7" thickBot="1" x14ac:dyDescent="0.6">
      <c r="A11" s="14">
        <v>0.55882822672526045</v>
      </c>
      <c r="B11" s="31">
        <v>90.007781982421875</v>
      </c>
      <c r="C11" s="7">
        <f t="shared" si="0"/>
        <v>50.298889196710661</v>
      </c>
      <c r="D11" s="25">
        <f t="shared" si="1"/>
        <v>2.2255794901062971</v>
      </c>
      <c r="E11" s="25">
        <f t="shared" si="2"/>
        <v>0.44932117879655625</v>
      </c>
      <c r="J11" s="5">
        <f t="shared" si="10"/>
        <v>52874.192323582247</v>
      </c>
      <c r="K11" s="7">
        <f t="shared" si="3"/>
        <v>264370.96161791123</v>
      </c>
      <c r="L11" s="21">
        <f t="shared" si="4"/>
        <v>528741.92323582247</v>
      </c>
      <c r="M11" s="6">
        <f t="shared" si="5"/>
        <v>1057483.8464716449</v>
      </c>
      <c r="P11" s="24">
        <f t="shared" si="6"/>
        <v>3530.2715397390139</v>
      </c>
      <c r="Q11" s="21">
        <f t="shared" si="7"/>
        <v>17651.357698695068</v>
      </c>
      <c r="R11" s="21">
        <f t="shared" si="8"/>
        <v>35302.715397390137</v>
      </c>
      <c r="S11" s="25">
        <f t="shared" si="9"/>
        <v>70605.430794780274</v>
      </c>
    </row>
    <row r="12" spans="1:23" ht="14.7" thickBot="1" x14ac:dyDescent="0.6">
      <c r="A12" s="14">
        <v>0.58511895073784725</v>
      </c>
      <c r="B12" s="31">
        <v>100.0213623046875</v>
      </c>
      <c r="C12" s="7">
        <f t="shared" si="0"/>
        <v>58.524394563088819</v>
      </c>
      <c r="D12" s="25">
        <f t="shared" si="1"/>
        <v>2.1255791464690361</v>
      </c>
      <c r="E12" s="25">
        <f t="shared" si="2"/>
        <v>0.4704600163495099</v>
      </c>
      <c r="J12" s="5">
        <f t="shared" si="10"/>
        <v>61520.843564718969</v>
      </c>
      <c r="K12" s="7">
        <f t="shared" si="3"/>
        <v>307604.21782359487</v>
      </c>
      <c r="L12" s="21">
        <f t="shared" si="4"/>
        <v>615208.43564718973</v>
      </c>
      <c r="M12" s="51">
        <f t="shared" si="5"/>
        <v>1230416.8712943795</v>
      </c>
      <c r="P12" s="24">
        <f t="shared" si="6"/>
        <v>3923.0226646305127</v>
      </c>
      <c r="Q12" s="21">
        <f t="shared" si="7"/>
        <v>19615.11332315256</v>
      </c>
      <c r="R12" s="21">
        <f t="shared" si="8"/>
        <v>39230.22664630512</v>
      </c>
      <c r="S12" s="54">
        <f t="shared" si="9"/>
        <v>78460.45329261024</v>
      </c>
    </row>
    <row r="13" spans="1:23" ht="14.7" thickBot="1" x14ac:dyDescent="0.6">
      <c r="A13" s="14">
        <v>0.61044396294487846</v>
      </c>
      <c r="B13" s="31">
        <v>109.95705922444661</v>
      </c>
      <c r="C13" s="7">
        <f t="shared" si="0"/>
        <v>67.122622986735891</v>
      </c>
      <c r="D13" s="25">
        <f t="shared" si="1"/>
        <v>2.0373969035459454</v>
      </c>
      <c r="E13" s="25">
        <f t="shared" si="2"/>
        <v>0.49082238137280498</v>
      </c>
      <c r="J13" s="5">
        <f t="shared" si="10"/>
        <v>70559.301283656765</v>
      </c>
      <c r="K13" s="7">
        <f t="shared" si="3"/>
        <v>352796.5064182838</v>
      </c>
      <c r="L13" s="21">
        <f t="shared" si="4"/>
        <v>705593.01283656759</v>
      </c>
      <c r="M13" s="6">
        <f t="shared" si="5"/>
        <v>1411186.0256731352</v>
      </c>
      <c r="P13" s="24">
        <f t="shared" si="6"/>
        <v>4312.7190585506323</v>
      </c>
      <c r="Q13" s="21">
        <f t="shared" si="7"/>
        <v>21563.595292753165</v>
      </c>
      <c r="R13" s="21">
        <f t="shared" si="8"/>
        <v>43127.190585506331</v>
      </c>
      <c r="S13" s="25">
        <f t="shared" si="9"/>
        <v>86254.381171012661</v>
      </c>
    </row>
    <row r="14" spans="1:23" ht="14.7" thickBot="1" x14ac:dyDescent="0.6">
      <c r="A14" s="14">
        <v>0.63524475097656252</v>
      </c>
      <c r="B14" s="31">
        <v>119.97222900390625</v>
      </c>
      <c r="C14" s="7">
        <f t="shared" si="0"/>
        <v>76.211728737689555</v>
      </c>
      <c r="D14" s="25">
        <f t="shared" si="1"/>
        <v>1.9578542569304889</v>
      </c>
      <c r="E14" s="25">
        <f t="shared" si="2"/>
        <v>0.51076324831644693</v>
      </c>
      <c r="J14" s="5">
        <f t="shared" si="10"/>
        <v>80113.76924905926</v>
      </c>
      <c r="K14" s="7">
        <f t="shared" si="3"/>
        <v>400568.8462452963</v>
      </c>
      <c r="L14" s="21">
        <f t="shared" si="4"/>
        <v>801137.6924905926</v>
      </c>
      <c r="M14" s="48">
        <f t="shared" si="5"/>
        <v>1602275.3849811852</v>
      </c>
      <c r="P14" s="24">
        <f t="shared" si="6"/>
        <v>4705.5325248905274</v>
      </c>
      <c r="Q14" s="21">
        <f t="shared" si="7"/>
        <v>23527.662624452634</v>
      </c>
      <c r="R14" s="21">
        <f t="shared" si="8"/>
        <v>47055.325248905268</v>
      </c>
      <c r="S14" s="48">
        <f t="shared" si="9"/>
        <v>94110.650497810537</v>
      </c>
    </row>
    <row r="15" spans="1:23" ht="14.7" thickBot="1" x14ac:dyDescent="0.6">
      <c r="A15" s="14">
        <v>0.65971221923828127</v>
      </c>
      <c r="B15" s="31">
        <v>129.98580932617188</v>
      </c>
      <c r="C15" s="7">
        <f t="shared" si="0"/>
        <v>85.753226740052924</v>
      </c>
      <c r="D15" s="25">
        <f t="shared" si="1"/>
        <v>1.885241175808801</v>
      </c>
      <c r="E15" s="25">
        <f t="shared" si="2"/>
        <v>0.53043611227671317</v>
      </c>
      <c r="J15" s="5">
        <f t="shared" si="10"/>
        <v>90143.791949143633</v>
      </c>
      <c r="K15" s="7">
        <f t="shared" si="3"/>
        <v>450718.95974571822</v>
      </c>
      <c r="L15" s="21">
        <f t="shared" si="4"/>
        <v>901437.91949143645</v>
      </c>
      <c r="M15" s="50">
        <f t="shared" si="5"/>
        <v>1802875.8389828729</v>
      </c>
      <c r="P15" s="24">
        <f t="shared" si="6"/>
        <v>5098.2836497820253</v>
      </c>
      <c r="Q15" s="21">
        <f t="shared" si="7"/>
        <v>25491.418248910129</v>
      </c>
      <c r="R15" s="21">
        <f t="shared" si="8"/>
        <v>50982.836497820259</v>
      </c>
      <c r="S15" s="50">
        <f t="shared" si="9"/>
        <v>101965.67299564052</v>
      </c>
    </row>
    <row r="16" spans="1:23" ht="14.7" thickBot="1" x14ac:dyDescent="0.6">
      <c r="A16" s="14">
        <v>0.68387332492404518</v>
      </c>
      <c r="B16" s="31">
        <v>139.9993896484375</v>
      </c>
      <c r="C16" s="7">
        <f t="shared" si="0"/>
        <v>95.741848086213906</v>
      </c>
      <c r="D16" s="25">
        <f t="shared" si="1"/>
        <v>1.8186359879299949</v>
      </c>
      <c r="E16" s="25">
        <f t="shared" si="2"/>
        <v>0.54986264796080409</v>
      </c>
      <c r="J16" s="5">
        <f t="shared" si="10"/>
        <v>100643.83070822805</v>
      </c>
      <c r="K16" s="7">
        <f t="shared" si="3"/>
        <v>503219.15354114026</v>
      </c>
      <c r="L16" s="21">
        <f t="shared" si="4"/>
        <v>1006438.3070822805</v>
      </c>
      <c r="M16" s="55">
        <f t="shared" si="5"/>
        <v>2012876.614164561</v>
      </c>
      <c r="P16" s="24">
        <f t="shared" si="6"/>
        <v>5491.0347746735251</v>
      </c>
      <c r="Q16" s="21">
        <f t="shared" si="7"/>
        <v>27455.173873367621</v>
      </c>
      <c r="R16" s="21">
        <f t="shared" si="8"/>
        <v>54910.347746735242</v>
      </c>
      <c r="S16" s="55">
        <f>B16*$B$27*$H$3*$F$6*$I$3/$B$26/$B$25/1000/1000</f>
        <v>109820.69549347048</v>
      </c>
    </row>
    <row r="17" spans="1:20" ht="14.7" thickBot="1" x14ac:dyDescent="0.6">
      <c r="A17" s="14">
        <v>0.70777604844835074</v>
      </c>
      <c r="B17" s="31">
        <v>150.01922183566623</v>
      </c>
      <c r="C17" s="7">
        <f t="shared" si="0"/>
        <v>106.18001202214438</v>
      </c>
      <c r="D17" s="25">
        <f t="shared" si="1"/>
        <v>1.7572177564058535</v>
      </c>
      <c r="E17" s="25">
        <f t="shared" si="2"/>
        <v>0.56908143362115915</v>
      </c>
      <c r="J17" s="5">
        <f t="shared" si="10"/>
        <v>111616.42863767818</v>
      </c>
      <c r="K17" s="7">
        <f t="shared" si="3"/>
        <v>558082.14318839088</v>
      </c>
      <c r="L17" s="21">
        <f t="shared" si="4"/>
        <v>1116164.2863767818</v>
      </c>
      <c r="M17" s="56">
        <f t="shared" si="5"/>
        <v>2232328.5727535635</v>
      </c>
      <c r="P17" s="24">
        <f t="shared" si="6"/>
        <v>5884.0311092620459</v>
      </c>
      <c r="Q17" s="21">
        <f t="shared" si="7"/>
        <v>29420.155546310223</v>
      </c>
      <c r="R17" s="21">
        <f t="shared" si="8"/>
        <v>58840.311092620446</v>
      </c>
      <c r="S17" s="56">
        <f t="shared" si="9"/>
        <v>117680.62218524089</v>
      </c>
    </row>
    <row r="18" spans="1:20" ht="14.7" thickBot="1" x14ac:dyDescent="0.6">
      <c r="A18" s="14">
        <v>0.73173336452907989</v>
      </c>
      <c r="B18" s="31">
        <v>160.04562377929688</v>
      </c>
      <c r="C18" s="7">
        <f t="shared" si="0"/>
        <v>117.11072276618022</v>
      </c>
      <c r="D18" s="25">
        <f t="shared" si="1"/>
        <v>1.6996855687899752</v>
      </c>
      <c r="E18" s="25">
        <f t="shared" si="2"/>
        <v>0.58834411397156883</v>
      </c>
      <c r="J18" s="5">
        <f t="shared" si="10"/>
        <v>123106.79177180865</v>
      </c>
      <c r="K18" s="7">
        <f t="shared" si="3"/>
        <v>615533.9588590432</v>
      </c>
      <c r="L18" s="21">
        <f t="shared" si="4"/>
        <v>1231067.9177180864</v>
      </c>
      <c r="M18" s="6">
        <f t="shared" si="5"/>
        <v>2462135.8354361728</v>
      </c>
      <c r="P18" s="24">
        <f t="shared" si="6"/>
        <v>6277.285121837268</v>
      </c>
      <c r="Q18" s="21">
        <f t="shared" si="7"/>
        <v>31386.425609186339</v>
      </c>
      <c r="R18" s="21">
        <f t="shared" si="8"/>
        <v>62772.851218372678</v>
      </c>
      <c r="S18" s="25">
        <f t="shared" si="9"/>
        <v>125545.70243674536</v>
      </c>
      <c r="T18" t="s">
        <v>65</v>
      </c>
    </row>
    <row r="19" spans="1:20" ht="14.7" thickBot="1" x14ac:dyDescent="0.6">
      <c r="A19" s="14">
        <v>0.75641716851128471</v>
      </c>
      <c r="B19" s="31">
        <v>170.0592041015625</v>
      </c>
      <c r="C19" s="7">
        <f t="shared" si="0"/>
        <v>128.63570164578655</v>
      </c>
      <c r="D19" s="25">
        <f t="shared" si="1"/>
        <v>1.6442205328839741</v>
      </c>
      <c r="E19" s="25">
        <f t="shared" si="2"/>
        <v>0.60819092086509419</v>
      </c>
      <c r="J19" s="5">
        <f t="shared" si="10"/>
        <v>135221.84957005081</v>
      </c>
      <c r="K19" s="7">
        <f t="shared" si="3"/>
        <v>676109.24785025418</v>
      </c>
      <c r="L19" s="21">
        <f t="shared" si="4"/>
        <v>1352218.4957005084</v>
      </c>
      <c r="M19" s="6">
        <f t="shared" si="5"/>
        <v>2704436.9914010167</v>
      </c>
      <c r="P19" s="24">
        <f t="shared" si="6"/>
        <v>6670.0362467287669</v>
      </c>
      <c r="Q19" s="21">
        <f t="shared" si="7"/>
        <v>33350.181233643831</v>
      </c>
      <c r="R19" s="21">
        <f t="shared" si="8"/>
        <v>66700.362467287661</v>
      </c>
      <c r="S19" s="25">
        <f t="shared" si="9"/>
        <v>133400.72493457532</v>
      </c>
    </row>
    <row r="20" spans="1:20" ht="14.7" thickBot="1" x14ac:dyDescent="0.6">
      <c r="A20" s="14">
        <v>0.7792205810546875</v>
      </c>
      <c r="B20" s="31">
        <v>179.9774169921875</v>
      </c>
      <c r="C20" s="7">
        <f t="shared" si="0"/>
        <v>140.24210744537413</v>
      </c>
      <c r="D20" s="25">
        <f t="shared" si="1"/>
        <v>1.5961034271050967</v>
      </c>
      <c r="E20" s="25">
        <f t="shared" si="2"/>
        <v>0.62652581469217927</v>
      </c>
      <c r="J20" s="5">
        <f t="shared" si="10"/>
        <v>147422.50334657729</v>
      </c>
      <c r="K20" s="7">
        <f t="shared" si="3"/>
        <v>737112.51673288643</v>
      </c>
      <c r="L20" s="21">
        <f t="shared" si="4"/>
        <v>1474225.0334657729</v>
      </c>
      <c r="M20" s="6">
        <f t="shared" si="5"/>
        <v>2948450.0669315457</v>
      </c>
      <c r="P20" s="24">
        <f t="shared" si="6"/>
        <v>7059.0468847165366</v>
      </c>
      <c r="Q20" s="21">
        <f t="shared" si="7"/>
        <v>35295.234423582682</v>
      </c>
      <c r="R20" s="21">
        <f t="shared" si="8"/>
        <v>70590.468847165364</v>
      </c>
      <c r="S20" s="25">
        <f t="shared" si="9"/>
        <v>141180.93769433073</v>
      </c>
    </row>
    <row r="21" spans="1:20" ht="14.7" thickBot="1" x14ac:dyDescent="0.6">
      <c r="A21" s="14">
        <v>0.80240546332465279</v>
      </c>
      <c r="B21" s="31">
        <v>189.99099731445313</v>
      </c>
      <c r="C21" s="7">
        <f t="shared" si="0"/>
        <v>152.44981422761663</v>
      </c>
      <c r="D21" s="25">
        <f t="shared" si="1"/>
        <v>1.5499852589974255</v>
      </c>
      <c r="E21" s="25">
        <f t="shared" si="2"/>
        <v>0.6451674260739928</v>
      </c>
      <c r="J21" s="5">
        <f t="shared" si="10"/>
        <v>160255.24471607059</v>
      </c>
      <c r="K21" s="7">
        <f t="shared" si="3"/>
        <v>801276.22358035308</v>
      </c>
      <c r="L21" s="21">
        <f t="shared" si="4"/>
        <v>1602552.4471607062</v>
      </c>
      <c r="M21" s="6">
        <f t="shared" si="5"/>
        <v>3205104.8943214123</v>
      </c>
      <c r="P21" s="24">
        <f t="shared" si="6"/>
        <v>7451.7980096080346</v>
      </c>
      <c r="Q21" s="21">
        <f t="shared" si="7"/>
        <v>37258.990048040163</v>
      </c>
      <c r="R21" s="21">
        <f t="shared" si="8"/>
        <v>74517.980096080326</v>
      </c>
      <c r="S21" s="25">
        <f t="shared" si="9"/>
        <v>149035.96019216065</v>
      </c>
    </row>
    <row r="22" spans="1:20" ht="14.7" thickBot="1" x14ac:dyDescent="0.6">
      <c r="A22" s="14">
        <v>0.82556491427951384</v>
      </c>
      <c r="B22" s="32">
        <v>200.042724609375</v>
      </c>
      <c r="C22" s="16">
        <f t="shared" si="0"/>
        <v>165.14825479437906</v>
      </c>
      <c r="D22" s="25">
        <f t="shared" si="1"/>
        <v>1.5065037508015058</v>
      </c>
      <c r="E22" s="25">
        <f t="shared" si="2"/>
        <v>0.66378858961882414</v>
      </c>
      <c r="J22" s="15">
        <f t="shared" si="10"/>
        <v>173603.84543985125</v>
      </c>
      <c r="K22" s="16">
        <f t="shared" si="3"/>
        <v>868019.22719925619</v>
      </c>
      <c r="L22" s="26">
        <f t="shared" si="4"/>
        <v>1736038.4543985124</v>
      </c>
      <c r="M22" s="13">
        <f t="shared" si="5"/>
        <v>3472076.9087970247</v>
      </c>
      <c r="P22" s="27">
        <f t="shared" si="6"/>
        <v>7846.0453292610255</v>
      </c>
      <c r="Q22" s="26">
        <f t="shared" si="7"/>
        <v>39230.22664630512</v>
      </c>
      <c r="R22" s="26">
        <f t="shared" si="8"/>
        <v>78460.45329261024</v>
      </c>
      <c r="S22" s="28">
        <f t="shared" si="9"/>
        <v>156920.90658522048</v>
      </c>
    </row>
    <row r="23" spans="1:20" ht="14.7" thickBot="1" x14ac:dyDescent="0.6"/>
    <row r="24" spans="1:20" ht="14.7" thickBot="1" x14ac:dyDescent="0.6">
      <c r="A24" s="277" t="s">
        <v>66</v>
      </c>
      <c r="B24" s="278"/>
      <c r="H24" s="46" t="s">
        <v>67</v>
      </c>
    </row>
    <row r="25" spans="1:20" x14ac:dyDescent="0.55000000000000004">
      <c r="A25" s="5" t="s">
        <v>68</v>
      </c>
      <c r="B25" s="6">
        <v>2</v>
      </c>
      <c r="H25" s="47" t="s">
        <v>69</v>
      </c>
    </row>
    <row r="26" spans="1:20" x14ac:dyDescent="0.55000000000000004">
      <c r="A26" s="5" t="s">
        <v>70</v>
      </c>
      <c r="B26" s="6">
        <v>96485</v>
      </c>
      <c r="H26" s="49" t="s">
        <v>71</v>
      </c>
    </row>
    <row r="27" spans="1:20" ht="14.7" thickBot="1" x14ac:dyDescent="0.6">
      <c r="A27" s="15" t="s">
        <v>72</v>
      </c>
      <c r="B27" s="13">
        <v>2</v>
      </c>
      <c r="H27" s="53" t="s">
        <v>73</v>
      </c>
    </row>
    <row r="28" spans="1:20" x14ac:dyDescent="0.55000000000000004">
      <c r="A28" t="s">
        <v>74</v>
      </c>
      <c r="B28">
        <f>120*10^6</f>
        <v>120000000</v>
      </c>
      <c r="H28" s="52" t="s">
        <v>75</v>
      </c>
    </row>
  </sheetData>
  <mergeCells count="4">
    <mergeCell ref="A1:C1"/>
    <mergeCell ref="J1:M1"/>
    <mergeCell ref="P1:S1"/>
    <mergeCell ref="A24:B2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A65D7-1315-4B16-BC0F-8B133EB243B9}">
  <dimension ref="A1:P32"/>
  <sheetViews>
    <sheetView workbookViewId="0">
      <selection activeCell="G24" sqref="G24"/>
    </sheetView>
  </sheetViews>
  <sheetFormatPr defaultRowHeight="14.4" x14ac:dyDescent="0.55000000000000004"/>
  <cols>
    <col min="1" max="1" width="22.83984375" bestFit="1" customWidth="1"/>
    <col min="7" max="7" width="15.83984375" bestFit="1" customWidth="1"/>
    <col min="9" max="9" width="11.68359375" bestFit="1" customWidth="1"/>
    <col min="10" max="10" width="21.26171875" bestFit="1" customWidth="1"/>
    <col min="11" max="11" width="19.578125" bestFit="1" customWidth="1"/>
    <col min="12" max="12" width="22.26171875" bestFit="1" customWidth="1"/>
    <col min="13" max="13" width="33.83984375" bestFit="1" customWidth="1"/>
    <col min="14" max="14" width="17" bestFit="1" customWidth="1"/>
    <col min="15" max="15" width="25.68359375" bestFit="1" customWidth="1"/>
    <col min="16" max="16" width="17" bestFit="1" customWidth="1"/>
  </cols>
  <sheetData>
    <row r="1" spans="1:16" x14ac:dyDescent="0.55000000000000004">
      <c r="A1" s="66" t="s">
        <v>76</v>
      </c>
      <c r="G1" t="s">
        <v>77</v>
      </c>
      <c r="H1" t="s">
        <v>78</v>
      </c>
      <c r="I1" t="s">
        <v>79</v>
      </c>
      <c r="J1" t="s">
        <v>80</v>
      </c>
      <c r="K1" t="s">
        <v>81</v>
      </c>
      <c r="L1" t="s">
        <v>82</v>
      </c>
      <c r="M1" t="s">
        <v>83</v>
      </c>
      <c r="N1" t="s">
        <v>84</v>
      </c>
      <c r="O1" t="s">
        <v>85</v>
      </c>
      <c r="P1" t="s">
        <v>86</v>
      </c>
    </row>
    <row r="2" spans="1:16" x14ac:dyDescent="0.55000000000000004">
      <c r="A2" t="s">
        <v>77</v>
      </c>
      <c r="B2">
        <f>'produzione di energia'!D3</f>
        <v>17.010000000000002</v>
      </c>
      <c r="G2">
        <f>B2+B7+B15+B19+B23+B27</f>
        <v>49.892676142509643</v>
      </c>
      <c r="H2" s="45">
        <v>0</v>
      </c>
      <c r="I2">
        <f>$B$3+$B$8+$B$16+$B$20+$B$24+$B$28</f>
        <v>1.6071757363586432</v>
      </c>
      <c r="J2">
        <f>$B$12</f>
        <v>2.2582559999999998</v>
      </c>
      <c r="M2">
        <f>'output H2'!$J$3</f>
        <v>930600</v>
      </c>
      <c r="N2">
        <f>G2+I2+J2+K2+L2</f>
        <v>53.758107878868287</v>
      </c>
      <c r="O2">
        <f>M2</f>
        <v>930600</v>
      </c>
      <c r="P2">
        <f>((N2)*10^6)/(M2)</f>
        <v>57.767147946344608</v>
      </c>
    </row>
    <row r="3" spans="1:16" x14ac:dyDescent="0.55000000000000004">
      <c r="A3" t="s">
        <v>87</v>
      </c>
      <c r="B3">
        <f>'produzione di energia'!D4</f>
        <v>0.504</v>
      </c>
      <c r="H3" s="45">
        <v>1</v>
      </c>
      <c r="I3">
        <f t="shared" ref="I3:I32" si="0">$B$3+$B$8+$B$16+$B$20+$B$24+$B$28</f>
        <v>1.6071757363586432</v>
      </c>
      <c r="J3">
        <f t="shared" ref="J3:J32" si="1">$B$12</f>
        <v>2.2582559999999998</v>
      </c>
      <c r="M3">
        <f>'output H2'!$J$3</f>
        <v>930600</v>
      </c>
      <c r="N3">
        <f>N2+I3+J3+K3+L3</f>
        <v>57.623539615226932</v>
      </c>
      <c r="O3">
        <f>M3+O2</f>
        <v>1861200</v>
      </c>
      <c r="P3">
        <f>(N3*10^6)/O3</f>
        <v>30.960423176029945</v>
      </c>
    </row>
    <row r="4" spans="1:16" x14ac:dyDescent="0.55000000000000004">
      <c r="A4" t="s">
        <v>88</v>
      </c>
      <c r="B4">
        <f>'produzione di energia'!D5</f>
        <v>0</v>
      </c>
      <c r="H4" s="45">
        <v>2</v>
      </c>
      <c r="I4">
        <f t="shared" si="0"/>
        <v>1.6071757363586432</v>
      </c>
      <c r="J4">
        <f t="shared" si="1"/>
        <v>2.2582559999999998</v>
      </c>
      <c r="M4">
        <f>'output H2'!$J$3</f>
        <v>930600</v>
      </c>
      <c r="N4">
        <f t="shared" ref="N4:N32" si="2">N3+I4+J4+K4+L4</f>
        <v>61.488971351585576</v>
      </c>
      <c r="O4">
        <f>M4+O3</f>
        <v>2791800</v>
      </c>
      <c r="P4">
        <f>(N4*10^6)/O4</f>
        <v>22.024848252591724</v>
      </c>
    </row>
    <row r="5" spans="1:16" x14ac:dyDescent="0.55000000000000004">
      <c r="H5" s="45">
        <v>3</v>
      </c>
      <c r="I5">
        <f t="shared" si="0"/>
        <v>1.6071757363586432</v>
      </c>
      <c r="J5">
        <f t="shared" si="1"/>
        <v>2.2582559999999998</v>
      </c>
      <c r="M5">
        <f>'output H2'!$J$3</f>
        <v>930600</v>
      </c>
      <c r="N5">
        <f t="shared" si="2"/>
        <v>65.35440308794422</v>
      </c>
      <c r="O5">
        <f t="shared" ref="O5:O32" si="3">M5+O4</f>
        <v>3722400</v>
      </c>
      <c r="P5">
        <f t="shared" ref="P5:P32" si="4">(N5*10^6)/O5</f>
        <v>17.557060790872615</v>
      </c>
    </row>
    <row r="6" spans="1:16" x14ac:dyDescent="0.55000000000000004">
      <c r="A6" s="66" t="s">
        <v>89</v>
      </c>
      <c r="H6" s="45">
        <v>4</v>
      </c>
      <c r="I6">
        <f t="shared" si="0"/>
        <v>1.6071757363586432</v>
      </c>
      <c r="J6">
        <f t="shared" si="1"/>
        <v>2.2582559999999998</v>
      </c>
      <c r="M6">
        <f>'output H2'!$J$3</f>
        <v>930600</v>
      </c>
      <c r="N6">
        <f t="shared" si="2"/>
        <v>69.219834824302865</v>
      </c>
      <c r="O6">
        <f t="shared" si="3"/>
        <v>4653000</v>
      </c>
      <c r="P6">
        <f t="shared" si="4"/>
        <v>14.876388313841149</v>
      </c>
    </row>
    <row r="7" spans="1:16" x14ac:dyDescent="0.55000000000000004">
      <c r="A7" t="s">
        <v>77</v>
      </c>
      <c r="B7">
        <f>'produzione di energia'!I3</f>
        <v>1.2946821699069053</v>
      </c>
      <c r="H7" s="45">
        <v>5</v>
      </c>
      <c r="I7">
        <f t="shared" si="0"/>
        <v>1.6071757363586432</v>
      </c>
      <c r="J7">
        <f t="shared" si="1"/>
        <v>2.2582559999999998</v>
      </c>
      <c r="M7">
        <f>'output H2'!$J$3</f>
        <v>930600</v>
      </c>
      <c r="N7">
        <f t="shared" si="2"/>
        <v>73.085266560661509</v>
      </c>
      <c r="O7">
        <f t="shared" si="3"/>
        <v>5583600</v>
      </c>
      <c r="P7">
        <f t="shared" si="4"/>
        <v>13.089273329153505</v>
      </c>
    </row>
    <row r="8" spans="1:16" x14ac:dyDescent="0.55000000000000004">
      <c r="A8" t="s">
        <v>87</v>
      </c>
      <c r="B8">
        <f>'produzione di energia'!I4</f>
        <v>1.6492766495629366E-2</v>
      </c>
      <c r="H8" s="45">
        <v>6</v>
      </c>
      <c r="I8">
        <f t="shared" si="0"/>
        <v>1.6071757363586432</v>
      </c>
      <c r="J8">
        <f t="shared" si="1"/>
        <v>2.2582559999999998</v>
      </c>
      <c r="M8">
        <f>'output H2'!$J$3</f>
        <v>930600</v>
      </c>
      <c r="N8">
        <f t="shared" si="2"/>
        <v>76.950698297020153</v>
      </c>
      <c r="O8">
        <f t="shared" si="3"/>
        <v>6514200</v>
      </c>
      <c r="P8">
        <f t="shared" si="4"/>
        <v>11.812762625805188</v>
      </c>
    </row>
    <row r="9" spans="1:16" x14ac:dyDescent="0.55000000000000004">
      <c r="A9" t="s">
        <v>88</v>
      </c>
      <c r="H9" s="45">
        <v>7</v>
      </c>
      <c r="I9">
        <f t="shared" si="0"/>
        <v>1.6071757363586432</v>
      </c>
      <c r="J9">
        <f t="shared" si="1"/>
        <v>2.2582559999999998</v>
      </c>
      <c r="M9">
        <f>'output H2'!$J$3</f>
        <v>930600</v>
      </c>
      <c r="N9">
        <f t="shared" si="2"/>
        <v>80.816130033378798</v>
      </c>
      <c r="O9">
        <f t="shared" si="3"/>
        <v>7444800</v>
      </c>
      <c r="P9">
        <f t="shared" si="4"/>
        <v>10.855379598293949</v>
      </c>
    </row>
    <row r="10" spans="1:16" x14ac:dyDescent="0.55000000000000004">
      <c r="H10" s="45">
        <v>8</v>
      </c>
      <c r="I10">
        <f t="shared" si="0"/>
        <v>1.6071757363586432</v>
      </c>
      <c r="J10">
        <f t="shared" si="1"/>
        <v>2.2582559999999998</v>
      </c>
      <c r="M10">
        <f>'output H2'!$J$3</f>
        <v>930600</v>
      </c>
      <c r="N10">
        <f t="shared" si="2"/>
        <v>84.681561769737442</v>
      </c>
      <c r="O10">
        <f t="shared" si="3"/>
        <v>8375400</v>
      </c>
      <c r="P10">
        <f t="shared" si="4"/>
        <v>10.110748354674097</v>
      </c>
    </row>
    <row r="11" spans="1:16" x14ac:dyDescent="0.55000000000000004">
      <c r="A11" s="66" t="s">
        <v>90</v>
      </c>
      <c r="H11" s="45">
        <v>9</v>
      </c>
      <c r="I11">
        <f t="shared" si="0"/>
        <v>1.6071757363586432</v>
      </c>
      <c r="J11">
        <f t="shared" si="1"/>
        <v>2.2582559999999998</v>
      </c>
      <c r="M11">
        <f>'output H2'!$J$3</f>
        <v>930600</v>
      </c>
      <c r="N11">
        <f t="shared" si="2"/>
        <v>88.546993506096086</v>
      </c>
      <c r="O11">
        <f t="shared" si="3"/>
        <v>9306000</v>
      </c>
      <c r="P11">
        <f t="shared" si="4"/>
        <v>9.5150433597782165</v>
      </c>
    </row>
    <row r="12" spans="1:16" x14ac:dyDescent="0.55000000000000004">
      <c r="A12" t="s">
        <v>91</v>
      </c>
      <c r="B12">
        <f>'output H2'!B12*'output H2'!B13/10^6</f>
        <v>2.2582559999999998</v>
      </c>
      <c r="H12" s="45">
        <v>10</v>
      </c>
      <c r="I12">
        <f t="shared" si="0"/>
        <v>1.6071757363586432</v>
      </c>
      <c r="J12">
        <f t="shared" si="1"/>
        <v>2.2582559999999998</v>
      </c>
      <c r="L12">
        <f>B30</f>
        <v>1</v>
      </c>
      <c r="M12">
        <f>'output H2'!$J$3</f>
        <v>930600</v>
      </c>
      <c r="N12">
        <f t="shared" si="2"/>
        <v>93.412425242454731</v>
      </c>
      <c r="O12">
        <f t="shared" si="3"/>
        <v>10236600</v>
      </c>
      <c r="P12">
        <f t="shared" si="4"/>
        <v>9.1253370496507369</v>
      </c>
    </row>
    <row r="13" spans="1:16" x14ac:dyDescent="0.55000000000000004">
      <c r="H13" s="45">
        <v>11</v>
      </c>
      <c r="I13">
        <f t="shared" si="0"/>
        <v>1.6071757363586432</v>
      </c>
      <c r="J13">
        <f t="shared" si="1"/>
        <v>2.2582559999999998</v>
      </c>
      <c r="M13">
        <f>'output H2'!$J$3</f>
        <v>930600</v>
      </c>
      <c r="N13">
        <f t="shared" si="2"/>
        <v>97.277856978813375</v>
      </c>
      <c r="O13">
        <f t="shared" si="3"/>
        <v>11167200</v>
      </c>
      <c r="P13">
        <f t="shared" si="4"/>
        <v>8.7110338293227834</v>
      </c>
    </row>
    <row r="14" spans="1:16" x14ac:dyDescent="0.55000000000000004">
      <c r="A14" s="66" t="s">
        <v>92</v>
      </c>
      <c r="H14" s="45">
        <v>12</v>
      </c>
      <c r="I14">
        <f t="shared" si="0"/>
        <v>1.6071757363586432</v>
      </c>
      <c r="J14">
        <f t="shared" si="1"/>
        <v>2.2582559999999998</v>
      </c>
      <c r="M14">
        <f>'output H2'!$J$3</f>
        <v>930600</v>
      </c>
      <c r="N14">
        <f t="shared" si="2"/>
        <v>101.14328871517202</v>
      </c>
      <c r="O14">
        <f t="shared" si="3"/>
        <v>12097800</v>
      </c>
      <c r="P14">
        <f t="shared" si="4"/>
        <v>8.3604695659683603</v>
      </c>
    </row>
    <row r="15" spans="1:16" x14ac:dyDescent="0.55000000000000004">
      <c r="A15" t="s">
        <v>93</v>
      </c>
      <c r="B15">
        <f>'output H2'!B15*'output H2'!B14</f>
        <v>0.20471999999999999</v>
      </c>
      <c r="H15" s="45">
        <v>13</v>
      </c>
      <c r="I15">
        <f t="shared" si="0"/>
        <v>1.6071757363586432</v>
      </c>
      <c r="J15">
        <f t="shared" si="1"/>
        <v>2.2582559999999998</v>
      </c>
      <c r="M15">
        <f>'output H2'!$J$3</f>
        <v>930600</v>
      </c>
      <c r="N15">
        <f t="shared" si="2"/>
        <v>105.00872045153066</v>
      </c>
      <c r="O15">
        <f t="shared" si="3"/>
        <v>13028400</v>
      </c>
      <c r="P15">
        <f t="shared" si="4"/>
        <v>8.0599859116645689</v>
      </c>
    </row>
    <row r="16" spans="1:16" x14ac:dyDescent="0.55000000000000004">
      <c r="A16" t="s">
        <v>94</v>
      </c>
      <c r="B16">
        <f>0.03*B15</f>
        <v>6.1415999999999997E-3</v>
      </c>
      <c r="C16" t="s">
        <v>95</v>
      </c>
      <c r="H16" s="45">
        <v>14</v>
      </c>
      <c r="I16">
        <f t="shared" si="0"/>
        <v>1.6071757363586432</v>
      </c>
      <c r="J16">
        <f t="shared" si="1"/>
        <v>2.2582559999999998</v>
      </c>
      <c r="M16">
        <f>'output H2'!$J$3</f>
        <v>930600</v>
      </c>
      <c r="N16">
        <f t="shared" si="2"/>
        <v>108.87415218788931</v>
      </c>
      <c r="O16">
        <f t="shared" si="3"/>
        <v>13959000</v>
      </c>
      <c r="P16">
        <f t="shared" si="4"/>
        <v>7.7995667446012833</v>
      </c>
    </row>
    <row r="17" spans="1:16" x14ac:dyDescent="0.55000000000000004">
      <c r="H17" s="45">
        <v>15</v>
      </c>
      <c r="I17">
        <f t="shared" si="0"/>
        <v>1.6071757363586432</v>
      </c>
      <c r="J17">
        <f t="shared" si="1"/>
        <v>2.2582559999999998</v>
      </c>
      <c r="M17">
        <f>'output H2'!$J$3</f>
        <v>930600</v>
      </c>
      <c r="N17">
        <f t="shared" si="2"/>
        <v>112.73958392424795</v>
      </c>
      <c r="O17">
        <f t="shared" si="3"/>
        <v>14889600</v>
      </c>
      <c r="P17">
        <f t="shared" si="4"/>
        <v>7.5716999734209081</v>
      </c>
    </row>
    <row r="18" spans="1:16" x14ac:dyDescent="0.55000000000000004">
      <c r="A18" s="66" t="s">
        <v>96</v>
      </c>
      <c r="H18" s="45">
        <v>16</v>
      </c>
      <c r="I18">
        <f t="shared" si="0"/>
        <v>1.6071757363586432</v>
      </c>
      <c r="J18">
        <f t="shared" si="1"/>
        <v>2.2582559999999998</v>
      </c>
      <c r="M18">
        <f>'output H2'!$J$3</f>
        <v>930600</v>
      </c>
      <c r="N18">
        <f t="shared" si="2"/>
        <v>116.6050156606066</v>
      </c>
      <c r="O18">
        <f t="shared" si="3"/>
        <v>15820200</v>
      </c>
      <c r="P18">
        <f t="shared" si="4"/>
        <v>7.3706410576735184</v>
      </c>
    </row>
    <row r="19" spans="1:16" x14ac:dyDescent="0.55000000000000004">
      <c r="A19" t="s">
        <v>93</v>
      </c>
      <c r="B19">
        <f>'output H2'!G15+'output H2'!K17</f>
        <v>11.383273972602741</v>
      </c>
      <c r="H19" s="45">
        <v>17</v>
      </c>
      <c r="I19">
        <f t="shared" si="0"/>
        <v>1.6071757363586432</v>
      </c>
      <c r="J19">
        <f t="shared" si="1"/>
        <v>2.2582559999999998</v>
      </c>
      <c r="M19">
        <f>'output H2'!$J$3</f>
        <v>930600</v>
      </c>
      <c r="N19">
        <f t="shared" si="2"/>
        <v>120.47044739696524</v>
      </c>
      <c r="O19">
        <f t="shared" si="3"/>
        <v>16750800</v>
      </c>
      <c r="P19">
        <f t="shared" si="4"/>
        <v>7.1919220214536166</v>
      </c>
    </row>
    <row r="20" spans="1:16" x14ac:dyDescent="0.55000000000000004">
      <c r="A20" t="s">
        <v>94</v>
      </c>
      <c r="B20">
        <f>'output H2'!G16*'output H2'!G14/10^6+'output H2'!K18</f>
        <v>8.0541369863013718E-2</v>
      </c>
      <c r="C20" t="s">
        <v>97</v>
      </c>
      <c r="H20" s="45">
        <v>18</v>
      </c>
      <c r="I20">
        <f t="shared" si="0"/>
        <v>1.6071757363586432</v>
      </c>
      <c r="J20">
        <f t="shared" si="1"/>
        <v>2.2582559999999998</v>
      </c>
      <c r="M20">
        <f>'output H2'!$J$3</f>
        <v>930600</v>
      </c>
      <c r="N20">
        <f t="shared" si="2"/>
        <v>124.33587913332389</v>
      </c>
      <c r="O20">
        <f t="shared" si="3"/>
        <v>17681400</v>
      </c>
      <c r="P20">
        <f t="shared" si="4"/>
        <v>7.0320155153621258</v>
      </c>
    </row>
    <row r="21" spans="1:16" x14ac:dyDescent="0.55000000000000004">
      <c r="H21" s="45">
        <v>19</v>
      </c>
      <c r="I21">
        <f t="shared" si="0"/>
        <v>1.6071757363586432</v>
      </c>
      <c r="J21">
        <f t="shared" si="1"/>
        <v>2.2582559999999998</v>
      </c>
      <c r="M21">
        <f>'output H2'!$J$3</f>
        <v>930600</v>
      </c>
      <c r="N21">
        <f t="shared" si="2"/>
        <v>128.20131086968252</v>
      </c>
      <c r="O21">
        <f t="shared" si="3"/>
        <v>18612000</v>
      </c>
      <c r="P21">
        <f t="shared" si="4"/>
        <v>6.8880996598797832</v>
      </c>
    </row>
    <row r="22" spans="1:16" x14ac:dyDescent="0.55000000000000004">
      <c r="A22" s="66" t="s">
        <v>98</v>
      </c>
      <c r="H22" s="45">
        <v>20</v>
      </c>
      <c r="I22">
        <f t="shared" si="0"/>
        <v>1.6071757363586432</v>
      </c>
      <c r="J22">
        <f t="shared" si="1"/>
        <v>2.2582559999999998</v>
      </c>
      <c r="M22">
        <f>'output H2'!$J$3</f>
        <v>930600</v>
      </c>
      <c r="N22">
        <f t="shared" si="2"/>
        <v>132.06674260604115</v>
      </c>
      <c r="O22">
        <f t="shared" si="3"/>
        <v>19542600</v>
      </c>
      <c r="P22">
        <f t="shared" si="4"/>
        <v>6.7578900763481391</v>
      </c>
    </row>
    <row r="23" spans="1:16" x14ac:dyDescent="0.55000000000000004">
      <c r="A23" t="s">
        <v>93</v>
      </c>
      <c r="H23" s="45">
        <v>21</v>
      </c>
      <c r="I23">
        <f t="shared" si="0"/>
        <v>1.6071757363586432</v>
      </c>
      <c r="J23">
        <f t="shared" si="1"/>
        <v>2.2582559999999998</v>
      </c>
      <c r="L23">
        <f>B30</f>
        <v>1</v>
      </c>
      <c r="M23">
        <f>'output H2'!$J$3</f>
        <v>930600</v>
      </c>
      <c r="N23">
        <f t="shared" si="2"/>
        <v>136.93217434239978</v>
      </c>
      <c r="O23">
        <f t="shared" si="3"/>
        <v>20473200</v>
      </c>
      <c r="P23">
        <f t="shared" si="4"/>
        <v>6.6883620705312206</v>
      </c>
    </row>
    <row r="24" spans="1:16" x14ac:dyDescent="0.55000000000000004">
      <c r="A24" t="s">
        <v>94</v>
      </c>
      <c r="H24" s="45">
        <v>22</v>
      </c>
      <c r="I24">
        <f t="shared" si="0"/>
        <v>1.6071757363586432</v>
      </c>
      <c r="J24">
        <f t="shared" si="1"/>
        <v>2.2582559999999998</v>
      </c>
      <c r="M24">
        <f>'output H2'!$J$3</f>
        <v>930600</v>
      </c>
      <c r="N24">
        <f t="shared" si="2"/>
        <v>140.79760607875841</v>
      </c>
      <c r="O24">
        <f t="shared" si="3"/>
        <v>21403800</v>
      </c>
      <c r="P24">
        <f t="shared" si="4"/>
        <v>6.5781593024957443</v>
      </c>
    </row>
    <row r="25" spans="1:16" x14ac:dyDescent="0.55000000000000004">
      <c r="H25" s="45">
        <v>23</v>
      </c>
      <c r="I25">
        <f t="shared" si="0"/>
        <v>1.6071757363586432</v>
      </c>
      <c r="J25">
        <f t="shared" si="1"/>
        <v>2.2582559999999998</v>
      </c>
      <c r="M25">
        <f>'output H2'!$J$3</f>
        <v>930600</v>
      </c>
      <c r="N25">
        <f t="shared" si="2"/>
        <v>144.66303781511704</v>
      </c>
      <c r="O25">
        <f t="shared" si="3"/>
        <v>22334400</v>
      </c>
      <c r="P25">
        <f t="shared" si="4"/>
        <v>6.4771400984632237</v>
      </c>
    </row>
    <row r="26" spans="1:16" x14ac:dyDescent="0.55000000000000004">
      <c r="A26" s="66" t="s">
        <v>99</v>
      </c>
      <c r="H26" s="45">
        <v>24</v>
      </c>
      <c r="I26">
        <f t="shared" si="0"/>
        <v>1.6071757363586432</v>
      </c>
      <c r="J26">
        <f t="shared" si="1"/>
        <v>2.2582559999999998</v>
      </c>
      <c r="M26">
        <f>'output H2'!$J$3</f>
        <v>930600</v>
      </c>
      <c r="N26">
        <f t="shared" si="2"/>
        <v>148.52846955147567</v>
      </c>
      <c r="O26">
        <f t="shared" si="3"/>
        <v>23265000</v>
      </c>
      <c r="P26">
        <f t="shared" si="4"/>
        <v>6.3842024307533061</v>
      </c>
    </row>
    <row r="27" spans="1:16" x14ac:dyDescent="0.55000000000000004">
      <c r="A27" t="s">
        <v>77</v>
      </c>
      <c r="B27">
        <v>20</v>
      </c>
      <c r="H27" s="45">
        <v>25</v>
      </c>
      <c r="I27">
        <f t="shared" si="0"/>
        <v>1.6071757363586432</v>
      </c>
      <c r="J27">
        <f t="shared" si="1"/>
        <v>2.2582559999999998</v>
      </c>
      <c r="M27">
        <f>'output H2'!$J$3</f>
        <v>930600</v>
      </c>
      <c r="N27">
        <f t="shared" si="2"/>
        <v>152.3939012878343</v>
      </c>
      <c r="O27">
        <f t="shared" si="3"/>
        <v>24195600</v>
      </c>
      <c r="P27">
        <f t="shared" si="4"/>
        <v>6.2984138144056887</v>
      </c>
    </row>
    <row r="28" spans="1:16" x14ac:dyDescent="0.55000000000000004">
      <c r="A28" t="s">
        <v>87</v>
      </c>
      <c r="B28">
        <v>1</v>
      </c>
      <c r="H28" s="45">
        <v>26</v>
      </c>
      <c r="I28">
        <f t="shared" si="0"/>
        <v>1.6071757363586432</v>
      </c>
      <c r="J28">
        <f t="shared" si="1"/>
        <v>2.2582559999999998</v>
      </c>
      <c r="M28">
        <f>'output H2'!$J$3</f>
        <v>930600</v>
      </c>
      <c r="N28">
        <f t="shared" si="2"/>
        <v>156.25933302419293</v>
      </c>
      <c r="O28">
        <f t="shared" si="3"/>
        <v>25126200</v>
      </c>
      <c r="P28">
        <f t="shared" si="4"/>
        <v>6.218979910380118</v>
      </c>
    </row>
    <row r="29" spans="1:16" x14ac:dyDescent="0.55000000000000004">
      <c r="A29" t="s">
        <v>81</v>
      </c>
      <c r="H29" s="45">
        <v>27</v>
      </c>
      <c r="I29">
        <f t="shared" si="0"/>
        <v>1.6071757363586432</v>
      </c>
      <c r="J29">
        <f t="shared" si="1"/>
        <v>2.2582559999999998</v>
      </c>
      <c r="M29">
        <f>'output H2'!$J$3</f>
        <v>930600</v>
      </c>
      <c r="N29">
        <f t="shared" si="2"/>
        <v>160.12476476055156</v>
      </c>
      <c r="O29">
        <f t="shared" si="3"/>
        <v>26056800</v>
      </c>
      <c r="P29">
        <f t="shared" si="4"/>
        <v>6.145219856642087</v>
      </c>
    </row>
    <row r="30" spans="1:16" x14ac:dyDescent="0.55000000000000004">
      <c r="A30" t="s">
        <v>100</v>
      </c>
      <c r="B30">
        <v>1</v>
      </c>
      <c r="H30" s="45">
        <v>28</v>
      </c>
      <c r="I30">
        <f t="shared" si="0"/>
        <v>1.6071757363586432</v>
      </c>
      <c r="J30">
        <f t="shared" si="1"/>
        <v>2.2582559999999998</v>
      </c>
      <c r="M30">
        <f>'output H2'!$J$3</f>
        <v>930600</v>
      </c>
      <c r="N30">
        <f t="shared" si="2"/>
        <v>163.99019649691019</v>
      </c>
      <c r="O30">
        <f t="shared" si="3"/>
        <v>26987400</v>
      </c>
      <c r="P30">
        <f t="shared" si="4"/>
        <v>6.0765467031618527</v>
      </c>
    </row>
    <row r="31" spans="1:16" x14ac:dyDescent="0.55000000000000004">
      <c r="H31" s="45">
        <v>29</v>
      </c>
      <c r="I31">
        <f t="shared" si="0"/>
        <v>1.6071757363586432</v>
      </c>
      <c r="J31">
        <f t="shared" si="1"/>
        <v>2.2582559999999998</v>
      </c>
      <c r="M31">
        <f>'output H2'!$J$3</f>
        <v>930600</v>
      </c>
      <c r="N31">
        <f t="shared" si="2"/>
        <v>167.85562823326882</v>
      </c>
      <c r="O31">
        <f t="shared" si="3"/>
        <v>27918000</v>
      </c>
      <c r="P31">
        <f t="shared" si="4"/>
        <v>6.0124517599136338</v>
      </c>
    </row>
    <row r="32" spans="1:16" x14ac:dyDescent="0.55000000000000004">
      <c r="H32" s="45">
        <v>30</v>
      </c>
      <c r="I32">
        <f t="shared" si="0"/>
        <v>1.6071757363586432</v>
      </c>
      <c r="J32">
        <f t="shared" si="1"/>
        <v>2.2582559999999998</v>
      </c>
      <c r="K32">
        <f>B4+B9+B17+B21+B25+B29</f>
        <v>0</v>
      </c>
      <c r="M32">
        <f>'output H2'!$J$3</f>
        <v>930600</v>
      </c>
      <c r="N32">
        <f t="shared" si="2"/>
        <v>171.72105996962745</v>
      </c>
      <c r="O32">
        <f t="shared" si="3"/>
        <v>28848600</v>
      </c>
      <c r="P32">
        <f t="shared" si="4"/>
        <v>5.9524919742943307</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C8401-839B-4A04-8C0B-4843E8BD301B}">
  <dimension ref="A1:T23"/>
  <sheetViews>
    <sheetView topLeftCell="F1" zoomScale="108" workbookViewId="0">
      <selection activeCell="S5" sqref="S5:T5"/>
    </sheetView>
  </sheetViews>
  <sheetFormatPr defaultRowHeight="14.4" x14ac:dyDescent="0.55000000000000004"/>
  <cols>
    <col min="1" max="1" width="23" customWidth="1"/>
    <col min="2" max="2" width="9.68359375" bestFit="1" customWidth="1"/>
    <col min="3" max="3" width="21.15625" customWidth="1"/>
    <col min="6" max="6" width="16.83984375" bestFit="1" customWidth="1"/>
    <col min="8" max="8" width="16" bestFit="1" customWidth="1"/>
    <col min="9" max="9" width="11.83984375" customWidth="1"/>
    <col min="10" max="10" width="9.83984375" customWidth="1"/>
    <col min="13" max="13" width="16.41796875" bestFit="1" customWidth="1"/>
  </cols>
  <sheetData>
    <row r="1" spans="1:20" ht="62.1" customHeight="1" x14ac:dyDescent="0.55000000000000004">
      <c r="A1" s="289" t="s">
        <v>76</v>
      </c>
      <c r="B1" s="291"/>
      <c r="C1" s="291"/>
      <c r="D1" s="303"/>
      <c r="F1" s="289" t="s">
        <v>89</v>
      </c>
      <c r="G1" s="291"/>
      <c r="H1" s="291"/>
      <c r="I1" s="303"/>
      <c r="J1" s="283" t="s">
        <v>101</v>
      </c>
      <c r="K1" s="293"/>
      <c r="L1" s="297" t="s">
        <v>102</v>
      </c>
      <c r="M1" s="302" t="s">
        <v>103</v>
      </c>
      <c r="N1" s="283" t="s">
        <v>104</v>
      </c>
      <c r="O1" s="293"/>
      <c r="P1" s="283" t="s">
        <v>105</v>
      </c>
      <c r="Q1" s="281"/>
      <c r="R1" s="293"/>
      <c r="S1" s="294" t="s">
        <v>106</v>
      </c>
      <c r="T1" s="299"/>
    </row>
    <row r="2" spans="1:20" ht="12.4" customHeight="1" thickBot="1" x14ac:dyDescent="0.6">
      <c r="A2" s="304"/>
      <c r="B2" s="305"/>
      <c r="C2" s="305"/>
      <c r="D2" s="306"/>
      <c r="F2" s="304"/>
      <c r="G2" s="305"/>
      <c r="H2" s="305"/>
      <c r="I2" s="306"/>
      <c r="J2" s="284"/>
      <c r="K2" s="296"/>
      <c r="L2" s="298"/>
      <c r="M2" s="301"/>
      <c r="N2" s="284"/>
      <c r="O2" s="296"/>
      <c r="P2" s="284"/>
      <c r="Q2" s="282"/>
      <c r="R2" s="296"/>
      <c r="S2" s="294"/>
      <c r="T2" s="299"/>
    </row>
    <row r="3" spans="1:20" ht="14.7" thickBot="1" x14ac:dyDescent="0.6">
      <c r="A3" t="s">
        <v>107</v>
      </c>
      <c r="B3">
        <v>1350</v>
      </c>
      <c r="C3" s="21" t="s">
        <v>77</v>
      </c>
      <c r="D3">
        <f>B6*1000*B3/10^6</f>
        <v>17.010000000000002</v>
      </c>
      <c r="F3" t="s">
        <v>107</v>
      </c>
      <c r="G3">
        <v>785</v>
      </c>
      <c r="H3" t="s">
        <v>77</v>
      </c>
      <c r="I3">
        <f>G6*G3/10^6</f>
        <v>1.2946821699069053</v>
      </c>
      <c r="J3" s="292">
        <f>'output H2'!J3</f>
        <v>930600</v>
      </c>
      <c r="K3" s="292"/>
      <c r="L3" s="46" t="s">
        <v>67</v>
      </c>
      <c r="M3">
        <f>'caratteristiche cella '!M16</f>
        <v>2012876.614164561</v>
      </c>
      <c r="N3" s="279">
        <f>'caratteristiche cella '!S16</f>
        <v>109820.69549347048</v>
      </c>
      <c r="O3" s="279"/>
      <c r="P3" s="280">
        <f>_xlfn.CEILING.MATH($J$3/N3)</f>
        <v>9</v>
      </c>
      <c r="Q3" s="280"/>
      <c r="R3" s="280"/>
      <c r="S3" s="279">
        <f>P3*M3/1000</f>
        <v>18115.889527481049</v>
      </c>
      <c r="T3" s="279"/>
    </row>
    <row r="4" spans="1:20" ht="14.7" thickBot="1" x14ac:dyDescent="0.6">
      <c r="A4" t="s">
        <v>108</v>
      </c>
      <c r="B4">
        <v>40</v>
      </c>
      <c r="C4" s="7" t="s">
        <v>109</v>
      </c>
      <c r="D4">
        <f>B4*B6*1000/10^6</f>
        <v>0.504</v>
      </c>
      <c r="F4" t="s">
        <v>108</v>
      </c>
      <c r="G4">
        <v>10</v>
      </c>
      <c r="H4" t="s">
        <v>109</v>
      </c>
      <c r="I4">
        <f>G6*G4/10^6</f>
        <v>1.6492766495629366E-2</v>
      </c>
      <c r="J4" s="292"/>
      <c r="K4" s="292"/>
      <c r="L4" s="47" t="s">
        <v>69</v>
      </c>
      <c r="M4">
        <f>'caratteristiche cella '!M17</f>
        <v>2232328.5727535635</v>
      </c>
      <c r="N4" s="279">
        <f>'caratteristiche cella '!S17</f>
        <v>117680.62218524089</v>
      </c>
      <c r="O4" s="279"/>
      <c r="P4" s="280">
        <f t="shared" ref="P4:P8" si="0">_xlfn.CEILING.MATH($J$3/N4)</f>
        <v>8</v>
      </c>
      <c r="Q4" s="280"/>
      <c r="R4" s="280"/>
      <c r="S4" s="279">
        <f t="shared" ref="S4:S5" si="1">P4*M4/1000</f>
        <v>17858.628582028508</v>
      </c>
      <c r="T4" s="279"/>
    </row>
    <row r="5" spans="1:20" ht="14.7" thickBot="1" x14ac:dyDescent="0.6">
      <c r="A5" t="s">
        <v>110</v>
      </c>
      <c r="C5" s="7" t="s">
        <v>111</v>
      </c>
      <c r="F5" t="s">
        <v>110</v>
      </c>
      <c r="H5" t="s">
        <v>111</v>
      </c>
      <c r="J5" s="292"/>
      <c r="K5" s="292"/>
      <c r="L5" s="49" t="s">
        <v>71</v>
      </c>
      <c r="M5">
        <f>'caratteristiche cella '!M14</f>
        <v>1602275.3849811852</v>
      </c>
      <c r="N5" s="279">
        <f>'caratteristiche cella '!S14</f>
        <v>94110.650497810537</v>
      </c>
      <c r="O5" s="279"/>
      <c r="P5" s="280">
        <f t="shared" si="0"/>
        <v>10</v>
      </c>
      <c r="Q5" s="280"/>
      <c r="R5" s="280"/>
      <c r="S5" s="279">
        <f t="shared" si="1"/>
        <v>16022.753849811852</v>
      </c>
      <c r="T5" s="279"/>
    </row>
    <row r="6" spans="1:20" ht="14.7" thickBot="1" x14ac:dyDescent="0.6">
      <c r="A6" t="s">
        <v>112</v>
      </c>
      <c r="B6">
        <f>7*1.8</f>
        <v>12.6</v>
      </c>
      <c r="C6" s="300" t="s">
        <v>113</v>
      </c>
      <c r="D6" s="292">
        <f>D3+D4+D5</f>
        <v>17.514000000000003</v>
      </c>
      <c r="F6" t="s">
        <v>114</v>
      </c>
      <c r="G6">
        <f>G9/G8*1000</f>
        <v>1649.2766495629367</v>
      </c>
      <c r="H6" s="299" t="s">
        <v>113</v>
      </c>
      <c r="I6" s="292">
        <f>I3+I4+I5</f>
        <v>1.3111749364025347</v>
      </c>
      <c r="L6" s="53" t="s">
        <v>115</v>
      </c>
      <c r="M6">
        <f>'caratteristiche cella '!M15</f>
        <v>1802875.8389828729</v>
      </c>
      <c r="N6" s="279">
        <f>'caratteristiche cella '!S15</f>
        <v>101965.67299564052</v>
      </c>
      <c r="O6" s="279"/>
      <c r="P6" s="280">
        <f t="shared" si="0"/>
        <v>10</v>
      </c>
      <c r="Q6" s="280"/>
      <c r="R6" s="280"/>
      <c r="S6" s="279">
        <f>P6*M6/1000</f>
        <v>18028.75838982873</v>
      </c>
      <c r="T6" s="279"/>
    </row>
    <row r="7" spans="1:20" ht="14.7" thickBot="1" x14ac:dyDescent="0.6">
      <c r="A7" t="s">
        <v>116</v>
      </c>
      <c r="B7">
        <v>0.33</v>
      </c>
      <c r="C7" s="301"/>
      <c r="D7" s="292"/>
      <c r="F7" t="s">
        <v>116</v>
      </c>
      <c r="G7">
        <v>0.19</v>
      </c>
      <c r="H7" s="299"/>
      <c r="I7" s="292"/>
      <c r="L7" s="52" t="s">
        <v>117</v>
      </c>
      <c r="M7">
        <f>'caratteristiche cella '!M12</f>
        <v>1230416.8712943795</v>
      </c>
      <c r="N7" s="279">
        <f>'caratteristiche cella '!S12</f>
        <v>78460.45329261024</v>
      </c>
      <c r="O7" s="279"/>
      <c r="P7" s="280">
        <f t="shared" si="0"/>
        <v>12</v>
      </c>
      <c r="Q7" s="280"/>
      <c r="R7" s="280"/>
      <c r="S7" s="279">
        <f>P7*M7/1000</f>
        <v>14765.002455532554</v>
      </c>
      <c r="T7" s="279"/>
    </row>
    <row r="8" spans="1:20" ht="14.7" thickBot="1" x14ac:dyDescent="0.6">
      <c r="A8" t="s">
        <v>118</v>
      </c>
      <c r="B8">
        <f>24*365*B7</f>
        <v>2890.8</v>
      </c>
      <c r="F8" t="s">
        <v>118</v>
      </c>
      <c r="G8">
        <f>24*365*G7</f>
        <v>1664.4</v>
      </c>
      <c r="M8">
        <f>'caratteristiche cella '!M10</f>
        <v>893294.99214515102</v>
      </c>
      <c r="N8" s="279">
        <f>'caratteristiche cella '!S10</f>
        <v>62750.4082969503</v>
      </c>
      <c r="O8" s="279"/>
      <c r="P8" s="280">
        <f t="shared" si="0"/>
        <v>15</v>
      </c>
      <c r="Q8" s="280"/>
      <c r="R8" s="280"/>
      <c r="S8" s="279">
        <f>P8*M8/1000</f>
        <v>13399.424882177265</v>
      </c>
      <c r="T8" s="279"/>
    </row>
    <row r="9" spans="1:20" ht="14.7" thickBot="1" x14ac:dyDescent="0.6">
      <c r="A9" t="s">
        <v>119</v>
      </c>
      <c r="B9">
        <f>B6*B7*B8</f>
        <v>12019.946400000003</v>
      </c>
      <c r="F9" t="s">
        <v>119</v>
      </c>
      <c r="G9">
        <f>S7-B9</f>
        <v>2745.0560555325519</v>
      </c>
      <c r="M9">
        <f>'caratteristiche cella '!M7</f>
        <v>470625.3015492112</v>
      </c>
      <c r="N9" s="279">
        <f>'caratteristiche cella '!S7</f>
        <v>39170.378855845469</v>
      </c>
      <c r="O9" s="279"/>
      <c r="P9" s="280">
        <f>_xlfn.CEILING.MATH($J$3/N9)</f>
        <v>24</v>
      </c>
      <c r="Q9" s="280"/>
      <c r="R9" s="280"/>
      <c r="S9" s="279">
        <f>P9*M9/1000</f>
        <v>11295.007237181069</v>
      </c>
      <c r="T9" s="279"/>
    </row>
    <row r="10" spans="1:20" x14ac:dyDescent="0.55000000000000004">
      <c r="A10" s="285" t="s">
        <v>120</v>
      </c>
      <c r="B10" s="286"/>
      <c r="C10" s="287" t="s">
        <v>121</v>
      </c>
      <c r="D10" s="288"/>
      <c r="P10" s="279"/>
      <c r="Q10" s="279"/>
      <c r="R10" s="279"/>
    </row>
    <row r="11" spans="1:20" ht="37.9" customHeight="1" x14ac:dyDescent="0.55000000000000004">
      <c r="A11" s="62" t="s">
        <v>122</v>
      </c>
      <c r="B11" s="63">
        <v>5000</v>
      </c>
      <c r="C11" s="62" t="s">
        <v>122</v>
      </c>
      <c r="D11" s="63">
        <v>4000</v>
      </c>
    </row>
    <row r="12" spans="1:20" ht="28.9" customHeight="1" x14ac:dyDescent="0.55000000000000004">
      <c r="A12" s="62" t="s">
        <v>123</v>
      </c>
      <c r="B12" s="63">
        <v>840</v>
      </c>
      <c r="C12" s="62" t="s">
        <v>123</v>
      </c>
      <c r="D12" s="63">
        <v>840</v>
      </c>
    </row>
    <row r="13" spans="1:20" x14ac:dyDescent="0.55000000000000004">
      <c r="A13" s="62" t="s">
        <v>124</v>
      </c>
      <c r="B13" s="63">
        <f>B11*B12/10^6</f>
        <v>4.2</v>
      </c>
      <c r="C13" s="62" t="s">
        <v>124</v>
      </c>
      <c r="D13" s="63">
        <f>D11*D12/10^6</f>
        <v>3.36</v>
      </c>
    </row>
    <row r="14" spans="1:20" ht="14.7" thickBot="1" x14ac:dyDescent="0.6">
      <c r="A14" s="64" t="s">
        <v>125</v>
      </c>
      <c r="B14" s="65">
        <v>756000</v>
      </c>
      <c r="C14" s="64" t="s">
        <v>125</v>
      </c>
      <c r="D14" s="65">
        <v>605200</v>
      </c>
    </row>
    <row r="15" spans="1:20" ht="14.7" thickBot="1" x14ac:dyDescent="0.6"/>
    <row r="16" spans="1:20" ht="14.5" customHeight="1" x14ac:dyDescent="0.55000000000000004">
      <c r="A16" s="283" t="s">
        <v>126</v>
      </c>
      <c r="B16" s="293"/>
      <c r="I16" s="283" t="s">
        <v>127</v>
      </c>
      <c r="J16" s="281" t="s">
        <v>128</v>
      </c>
      <c r="K16" s="281" t="s">
        <v>129</v>
      </c>
      <c r="L16" s="293"/>
      <c r="M16" s="281" t="s">
        <v>130</v>
      </c>
      <c r="N16" s="293"/>
    </row>
    <row r="17" spans="1:14" ht="14.7" thickBot="1" x14ac:dyDescent="0.6">
      <c r="A17" s="294"/>
      <c r="B17" s="295"/>
      <c r="I17" s="284"/>
      <c r="J17" s="282"/>
      <c r="K17" s="282"/>
      <c r="L17" s="296"/>
      <c r="M17" s="282"/>
      <c r="N17" s="296"/>
    </row>
    <row r="18" spans="1:14" x14ac:dyDescent="0.55000000000000004">
      <c r="A18" s="294"/>
      <c r="B18" s="295"/>
      <c r="H18" s="302" t="s">
        <v>131</v>
      </c>
      <c r="I18" s="289">
        <f>((D6+I6)*10^6)/('output H2'!J3)</f>
        <v>20.229072572966405</v>
      </c>
      <c r="J18" s="291"/>
      <c r="K18" s="291">
        <f>((D6+I6)*10^6-B21*'output H2'!J3)/('output H2'!J3)</f>
        <v>6.2290725729664054</v>
      </c>
      <c r="L18" s="291"/>
      <c r="M18" s="61"/>
      <c r="N18" s="61"/>
    </row>
    <row r="19" spans="1:14" ht="14.7" thickBot="1" x14ac:dyDescent="0.6">
      <c r="A19" s="284"/>
      <c r="B19" s="296"/>
      <c r="H19" s="301"/>
      <c r="I19" s="290"/>
      <c r="J19" s="292"/>
      <c r="K19" s="292"/>
      <c r="L19" s="292"/>
    </row>
    <row r="20" spans="1:14" ht="14.7" thickBot="1" x14ac:dyDescent="0.6">
      <c r="M20" s="46">
        <f>((D6+I6)*10^6+B13*10^6-B21*B14)/(B14)</f>
        <v>16.45658060370706</v>
      </c>
      <c r="N20" t="s">
        <v>132</v>
      </c>
    </row>
    <row r="21" spans="1:14" ht="106.9" customHeight="1" x14ac:dyDescent="0.55000000000000004">
      <c r="A21" s="8" t="s">
        <v>133</v>
      </c>
      <c r="B21" s="57">
        <v>14</v>
      </c>
      <c r="C21" s="59" t="s">
        <v>134</v>
      </c>
      <c r="D21" s="1"/>
      <c r="M21" s="49">
        <f>((D6+I6)*10^6+D13*10^6-B21*D14)/(D14)</f>
        <v>22.657592426309545</v>
      </c>
      <c r="N21" t="s">
        <v>135</v>
      </c>
    </row>
    <row r="22" spans="1:14" x14ac:dyDescent="0.55000000000000004">
      <c r="A22" s="9"/>
      <c r="B22" s="60"/>
      <c r="C22" s="2"/>
      <c r="D22" s="1"/>
    </row>
    <row r="23" spans="1:14" ht="14.7" thickBot="1" x14ac:dyDescent="0.6">
      <c r="A23" s="10"/>
      <c r="B23" s="58"/>
      <c r="C23" s="2"/>
      <c r="D23" s="1"/>
    </row>
  </sheetData>
  <mergeCells count="46">
    <mergeCell ref="P1:R2"/>
    <mergeCell ref="A1:D2"/>
    <mergeCell ref="F1:I2"/>
    <mergeCell ref="M1:M2"/>
    <mergeCell ref="N1:O2"/>
    <mergeCell ref="P7:R7"/>
    <mergeCell ref="N3:O3"/>
    <mergeCell ref="N4:O4"/>
    <mergeCell ref="N5:O5"/>
    <mergeCell ref="N6:O6"/>
    <mergeCell ref="N7:O7"/>
    <mergeCell ref="H6:H7"/>
    <mergeCell ref="I6:I7"/>
    <mergeCell ref="C6:C7"/>
    <mergeCell ref="D6:D7"/>
    <mergeCell ref="H18:H19"/>
    <mergeCell ref="K16:L17"/>
    <mergeCell ref="K18:L19"/>
    <mergeCell ref="S7:T7"/>
    <mergeCell ref="J1:K2"/>
    <mergeCell ref="L1:L2"/>
    <mergeCell ref="M16:N17"/>
    <mergeCell ref="S1:T2"/>
    <mergeCell ref="S3:T3"/>
    <mergeCell ref="S4:T4"/>
    <mergeCell ref="S5:T5"/>
    <mergeCell ref="S6:T6"/>
    <mergeCell ref="J3:K5"/>
    <mergeCell ref="P3:R3"/>
    <mergeCell ref="P4:R4"/>
    <mergeCell ref="P5:R5"/>
    <mergeCell ref="P6:R6"/>
    <mergeCell ref="J16:J17"/>
    <mergeCell ref="I16:I17"/>
    <mergeCell ref="A10:B10"/>
    <mergeCell ref="C10:D10"/>
    <mergeCell ref="I18:I19"/>
    <mergeCell ref="J18:J19"/>
    <mergeCell ref="A16:B19"/>
    <mergeCell ref="N8:O8"/>
    <mergeCell ref="P8:R8"/>
    <mergeCell ref="P9:R9"/>
    <mergeCell ref="P10:R10"/>
    <mergeCell ref="S8:T8"/>
    <mergeCell ref="N9:O9"/>
    <mergeCell ref="S9:T9"/>
  </mergeCells>
  <hyperlinks>
    <hyperlink ref="C21" r:id="rId1" location=":~:text=Quanto%20costa%20il%20rifornimento%20di%20un'auto%20a%20idrogeno&amp;text=Il%20costo%20dell'idrogeno%20si,tratta%20di%20un%20rifornimento%20green." display="https://www.leaseplan.com/it-it/news-auto/futuro-della-mobilita/auto-a-idrogeno-come-funzionano-costi-e-modelli/#:~:text=Quanto%20costa%20il%20rifornimento%20di%20un'auto%20a%20idrogeno&amp;text=Il%20costo%20dell'idrogeno%20si,tratta%20di%20un%20rifornimento%20green." xr:uid="{D16C16CC-16E8-4EC9-9A16-15CE5BD3D7A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FEEF7-42B1-4472-BA1E-C67185166BD2}">
  <dimension ref="A1:W46"/>
  <sheetViews>
    <sheetView zoomScale="60" zoomScaleNormal="60" workbookViewId="0">
      <selection activeCell="C4" sqref="C4"/>
    </sheetView>
  </sheetViews>
  <sheetFormatPr defaultRowHeight="14.4" x14ac:dyDescent="0.55000000000000004"/>
  <cols>
    <col min="1" max="1" width="21.578125" customWidth="1"/>
    <col min="2" max="2" width="11.15625" bestFit="1" customWidth="1"/>
    <col min="3" max="3" width="21.578125" customWidth="1"/>
    <col min="4" max="4" width="18.41796875" customWidth="1"/>
    <col min="5" max="5" width="15.05078125" customWidth="1"/>
    <col min="6" max="6" width="15.578125" customWidth="1"/>
    <col min="7" max="7" width="19.26171875" customWidth="1"/>
    <col min="8" max="8" width="11.15625" bestFit="1" customWidth="1"/>
    <col min="9" max="9" width="15.15625" customWidth="1"/>
    <col min="10" max="10" width="16.578125" customWidth="1"/>
    <col min="11" max="11" width="10.15625" bestFit="1" customWidth="1"/>
    <col min="13" max="13" width="20.41796875" customWidth="1"/>
    <col min="14" max="14" width="21.3671875" customWidth="1"/>
    <col min="15" max="15" width="11.15625" bestFit="1" customWidth="1"/>
    <col min="16" max="16" width="11.734375" customWidth="1"/>
    <col min="18" max="18" width="18.3125" customWidth="1"/>
    <col min="21" max="21" width="21.5234375" bestFit="1" customWidth="1"/>
    <col min="22" max="22" width="14.1015625" customWidth="1"/>
    <col min="23" max="23" width="13.3125" bestFit="1" customWidth="1"/>
  </cols>
  <sheetData>
    <row r="1" spans="1:21" ht="14.7" thickBot="1" x14ac:dyDescent="0.6">
      <c r="A1" s="315" t="s">
        <v>210</v>
      </c>
      <c r="B1" s="316"/>
      <c r="C1" s="146"/>
      <c r="D1" s="315" t="s">
        <v>1</v>
      </c>
      <c r="E1" s="317"/>
      <c r="F1" s="142"/>
      <c r="G1" s="310" t="s">
        <v>136</v>
      </c>
      <c r="H1" s="311"/>
    </row>
    <row r="2" spans="1:21" ht="38.1" customHeight="1" thickBot="1" x14ac:dyDescent="0.6">
      <c r="A2" s="8" t="s">
        <v>198</v>
      </c>
      <c r="B2" s="8">
        <f>365</f>
        <v>365</v>
      </c>
      <c r="C2" s="147"/>
      <c r="D2" s="8" t="s">
        <v>137</v>
      </c>
      <c r="E2" s="8">
        <f>365</f>
        <v>365</v>
      </c>
      <c r="F2" s="4"/>
      <c r="G2" s="76" t="s">
        <v>138</v>
      </c>
      <c r="H2" s="4">
        <v>4500</v>
      </c>
      <c r="I2" s="1"/>
      <c r="J2" s="312" t="s">
        <v>139</v>
      </c>
      <c r="K2" s="313"/>
      <c r="L2" s="314"/>
      <c r="O2" s="1"/>
      <c r="P2" s="1"/>
      <c r="Q2" s="1"/>
      <c r="R2" s="1"/>
      <c r="S2" s="1"/>
      <c r="T2" s="1"/>
      <c r="U2" s="1"/>
    </row>
    <row r="3" spans="1:21" ht="43.9" customHeight="1" thickBot="1" x14ac:dyDescent="0.6">
      <c r="A3" s="9" t="s">
        <v>199</v>
      </c>
      <c r="B3" s="9">
        <v>11500</v>
      </c>
      <c r="C3" s="147"/>
      <c r="D3" s="9" t="s">
        <v>203</v>
      </c>
      <c r="E3" s="9">
        <f>H5</f>
        <v>500</v>
      </c>
      <c r="F3" s="3"/>
      <c r="G3" s="2" t="s">
        <v>141</v>
      </c>
      <c r="H3" s="3">
        <v>45</v>
      </c>
      <c r="J3" s="143" t="s">
        <v>211</v>
      </c>
      <c r="K3" s="267">
        <f>(B9+E9)</f>
        <v>337086</v>
      </c>
      <c r="L3" s="22" t="s">
        <v>6</v>
      </c>
      <c r="N3" s="84" t="s">
        <v>175</v>
      </c>
      <c r="O3" s="1"/>
      <c r="U3" s="1"/>
    </row>
    <row r="4" spans="1:21" ht="70.900000000000006" customHeight="1" thickBot="1" x14ac:dyDescent="0.6">
      <c r="A4" s="9" t="s">
        <v>200</v>
      </c>
      <c r="B4" s="9">
        <f>_xlfn.CEILING.MATH(B3/B7)</f>
        <v>18</v>
      </c>
      <c r="C4" s="147"/>
      <c r="D4" s="9" t="s">
        <v>142</v>
      </c>
      <c r="E4" s="60">
        <f>H2/H5</f>
        <v>9</v>
      </c>
      <c r="F4" s="3"/>
      <c r="G4" s="2" t="s">
        <v>217</v>
      </c>
      <c r="H4" s="3">
        <f>100/9</f>
        <v>11.111111111111111</v>
      </c>
      <c r="J4" s="33"/>
      <c r="K4" s="33">
        <f>B9+E9</f>
        <v>337086</v>
      </c>
      <c r="L4" s="1"/>
      <c r="O4" s="1"/>
      <c r="P4" s="1"/>
      <c r="Q4" s="1"/>
      <c r="U4" s="1"/>
    </row>
    <row r="5" spans="1:21" ht="60" customHeight="1" thickBot="1" x14ac:dyDescent="0.6">
      <c r="A5" s="9" t="s">
        <v>201</v>
      </c>
      <c r="B5" s="9">
        <v>5.6</v>
      </c>
      <c r="C5" s="147"/>
      <c r="D5" s="9" t="s">
        <v>201</v>
      </c>
      <c r="E5" s="9">
        <f>H3</f>
        <v>45</v>
      </c>
      <c r="F5" s="6"/>
      <c r="G5" s="78" t="s">
        <v>140</v>
      </c>
      <c r="H5" s="79">
        <f>H3*H4</f>
        <v>500</v>
      </c>
      <c r="I5" s="1"/>
      <c r="J5" s="1"/>
      <c r="K5" s="1"/>
      <c r="L5" s="1"/>
      <c r="O5" s="1"/>
      <c r="P5" s="1"/>
      <c r="Q5" s="1"/>
      <c r="R5" s="1"/>
      <c r="S5" s="1"/>
      <c r="T5" s="1"/>
      <c r="U5" s="1"/>
    </row>
    <row r="6" spans="1:21" ht="14.7" thickBot="1" x14ac:dyDescent="0.6">
      <c r="A6" s="9" t="s">
        <v>202</v>
      </c>
      <c r="B6" s="156">
        <v>3320</v>
      </c>
      <c r="C6" s="147"/>
      <c r="D6" s="10" t="s">
        <v>143</v>
      </c>
      <c r="E6" s="155">
        <v>6</v>
      </c>
      <c r="F6" s="1"/>
      <c r="I6" s="1"/>
      <c r="J6" s="1"/>
      <c r="K6" s="1"/>
      <c r="L6" s="1"/>
      <c r="O6" s="1"/>
      <c r="P6" s="1"/>
      <c r="Q6" s="1"/>
      <c r="R6" s="1"/>
      <c r="S6" s="1"/>
      <c r="T6" s="1"/>
      <c r="U6" s="1"/>
    </row>
    <row r="7" spans="1:21" ht="14.7" thickBot="1" x14ac:dyDescent="0.6">
      <c r="A7" s="10" t="s">
        <v>203</v>
      </c>
      <c r="B7" s="58">
        <v>650</v>
      </c>
      <c r="C7" s="147"/>
      <c r="F7" s="72"/>
      <c r="G7" s="1"/>
      <c r="H7" s="1"/>
      <c r="I7" s="1"/>
      <c r="J7" s="1"/>
      <c r="K7" s="1"/>
      <c r="L7" s="1"/>
      <c r="M7" s="1"/>
      <c r="N7" s="1"/>
      <c r="O7" s="1"/>
      <c r="P7" s="1"/>
      <c r="Q7" s="1"/>
      <c r="R7" s="1"/>
      <c r="S7" s="1"/>
      <c r="T7" s="1"/>
      <c r="U7" s="1"/>
    </row>
    <row r="8" spans="1:21" ht="57.9" thickBot="1" x14ac:dyDescent="0.6">
      <c r="A8" s="141" t="s">
        <v>145</v>
      </c>
      <c r="B8" s="11">
        <f>B5*B4</f>
        <v>100.8</v>
      </c>
      <c r="C8" s="33"/>
      <c r="D8" s="122" t="s">
        <v>146</v>
      </c>
      <c r="E8" s="11">
        <f>E5*E4</f>
        <v>405</v>
      </c>
      <c r="F8" s="33"/>
      <c r="G8" s="1" t="s">
        <v>147</v>
      </c>
      <c r="H8" s="1">
        <f>100</f>
        <v>100</v>
      </c>
      <c r="I8" s="1"/>
      <c r="J8" s="1"/>
      <c r="K8" s="1"/>
      <c r="L8" s="1"/>
      <c r="M8" s="1"/>
      <c r="N8" s="1"/>
      <c r="O8" s="1"/>
      <c r="P8" s="1"/>
      <c r="Q8" s="1"/>
      <c r="R8" s="1"/>
      <c r="S8" s="1"/>
      <c r="T8" s="1"/>
      <c r="U8" s="1"/>
    </row>
    <row r="9" spans="1:21" ht="59.1" customHeight="1" thickBot="1" x14ac:dyDescent="0.6">
      <c r="A9" s="121" t="s">
        <v>189</v>
      </c>
      <c r="B9" s="145">
        <f>B8*B6</f>
        <v>334656</v>
      </c>
      <c r="C9" s="33"/>
      <c r="D9" s="121" t="s">
        <v>189</v>
      </c>
      <c r="E9" s="145">
        <f>E8*E6</f>
        <v>2430</v>
      </c>
      <c r="F9" s="33"/>
      <c r="G9" s="1"/>
      <c r="H9" s="1"/>
      <c r="I9" s="1"/>
      <c r="J9" s="1"/>
      <c r="K9" s="1"/>
      <c r="L9" s="1"/>
      <c r="M9" s="1"/>
      <c r="N9" s="1"/>
      <c r="O9" s="1"/>
      <c r="P9" s="1"/>
      <c r="Q9" s="1"/>
      <c r="R9" s="1"/>
      <c r="S9" s="1"/>
      <c r="T9" s="1"/>
      <c r="U9" s="1"/>
    </row>
    <row r="10" spans="1:21" x14ac:dyDescent="0.55000000000000004">
      <c r="A10" s="1"/>
      <c r="B10" s="1"/>
      <c r="C10" s="1"/>
      <c r="D10" s="1"/>
      <c r="E10" s="1"/>
      <c r="F10" s="1"/>
      <c r="G10" s="1"/>
      <c r="H10" s="1"/>
      <c r="I10" s="1"/>
      <c r="J10" s="1"/>
      <c r="K10" s="1"/>
      <c r="L10" s="1"/>
      <c r="M10" s="1"/>
      <c r="N10" s="1"/>
      <c r="O10" s="1"/>
      <c r="P10" s="1"/>
      <c r="Q10" s="1"/>
      <c r="R10" s="1"/>
      <c r="S10" s="1"/>
      <c r="T10" s="1"/>
      <c r="U10" s="1"/>
    </row>
    <row r="11" spans="1:21" ht="30" customHeight="1" thickBot="1" x14ac:dyDescent="0.6">
      <c r="A11" s="320" t="s">
        <v>190</v>
      </c>
      <c r="B11" s="321"/>
      <c r="C11" s="321"/>
      <c r="D11" s="321"/>
      <c r="E11" s="1"/>
      <c r="F11" s="331" t="s">
        <v>192</v>
      </c>
      <c r="G11" s="332"/>
      <c r="H11" s="1"/>
      <c r="I11" s="1"/>
      <c r="J11" s="327" t="s">
        <v>191</v>
      </c>
      <c r="K11" s="328"/>
      <c r="L11" s="1"/>
      <c r="M11" s="331" t="s">
        <v>193</v>
      </c>
      <c r="N11" s="332"/>
      <c r="O11" s="1"/>
      <c r="P11" s="1"/>
      <c r="Q11" s="325" t="s">
        <v>181</v>
      </c>
      <c r="R11" s="326"/>
      <c r="S11" s="1"/>
      <c r="T11" s="1"/>
      <c r="U11" s="1"/>
    </row>
    <row r="12" spans="1:21" ht="61.15" customHeight="1" thickBot="1" x14ac:dyDescent="0.6">
      <c r="A12" s="11" t="s">
        <v>204</v>
      </c>
      <c r="B12" s="22">
        <v>455</v>
      </c>
      <c r="C12" s="33" t="s">
        <v>25</v>
      </c>
      <c r="D12" s="33">
        <v>0.79</v>
      </c>
      <c r="E12" s="45"/>
      <c r="F12" s="8" t="s">
        <v>212</v>
      </c>
      <c r="G12" s="85">
        <v>600</v>
      </c>
      <c r="H12" s="74"/>
      <c r="I12" s="33"/>
      <c r="J12" s="8" t="s">
        <v>27</v>
      </c>
      <c r="K12" s="8">
        <v>2.8</v>
      </c>
      <c r="L12" s="33"/>
      <c r="M12" s="8" t="s">
        <v>172</v>
      </c>
      <c r="N12" s="8">
        <f>G14*365*1000*18/6</f>
        <v>1016099676.5304352</v>
      </c>
      <c r="O12" s="33"/>
      <c r="P12" s="33"/>
      <c r="Q12" s="8" t="s">
        <v>182</v>
      </c>
      <c r="R12" s="8">
        <f>G14*365*1000*44/6</f>
        <v>2483799209.2966194</v>
      </c>
      <c r="S12" s="1"/>
      <c r="T12" s="1"/>
      <c r="U12" s="1"/>
    </row>
    <row r="13" spans="1:21" ht="87.6" customHeight="1" thickBot="1" x14ac:dyDescent="0.6">
      <c r="A13" s="11" t="s">
        <v>205</v>
      </c>
      <c r="B13" s="22">
        <f>D15/10^6</f>
        <v>1806.3994249429961</v>
      </c>
      <c r="C13" s="33" t="s">
        <v>148</v>
      </c>
      <c r="D13" s="33">
        <f>B13*1000/365</f>
        <v>4949.0395203917706</v>
      </c>
      <c r="E13" s="33"/>
      <c r="F13" s="9" t="s">
        <v>216</v>
      </c>
      <c r="G13" s="35">
        <f>G14/24</f>
        <v>38.6643712530607</v>
      </c>
      <c r="H13" s="33"/>
      <c r="I13" s="33"/>
      <c r="J13" s="9" t="s">
        <v>149</v>
      </c>
      <c r="K13" s="60">
        <f>K12*G14*365/1000</f>
        <v>948.35969809507276</v>
      </c>
      <c r="L13" s="45"/>
      <c r="M13" s="115" t="s">
        <v>174</v>
      </c>
      <c r="N13" s="11">
        <f>N12/1000</f>
        <v>1016099.6765304352</v>
      </c>
      <c r="O13" s="33"/>
      <c r="P13" s="33"/>
      <c r="Q13" s="11" t="s">
        <v>183</v>
      </c>
      <c r="R13" s="11">
        <f>R12/10^3</f>
        <v>2483799.2092966195</v>
      </c>
      <c r="S13" s="1"/>
      <c r="T13" s="1"/>
      <c r="U13" s="1"/>
    </row>
    <row r="14" spans="1:21" ht="58.8" customHeight="1" thickBot="1" x14ac:dyDescent="0.6">
      <c r="A14" s="11" t="s">
        <v>206</v>
      </c>
      <c r="B14" s="22">
        <f>17060/10^6</f>
        <v>1.7059999999999999E-2</v>
      </c>
      <c r="C14" s="74"/>
      <c r="D14" s="45"/>
      <c r="E14" s="45"/>
      <c r="F14" s="9" t="s">
        <v>213</v>
      </c>
      <c r="G14" s="124">
        <f>'polarization curve'!S17*'polarization curve'!W17/365</f>
        <v>927.94491007345687</v>
      </c>
      <c r="I14" s="33"/>
      <c r="J14" s="9" t="s">
        <v>35</v>
      </c>
      <c r="K14" s="9">
        <v>100</v>
      </c>
      <c r="L14" s="33"/>
      <c r="M14" s="10" t="s">
        <v>173</v>
      </c>
      <c r="N14" s="10">
        <f>N13/1000</f>
        <v>1016.0996765304352</v>
      </c>
      <c r="O14" s="33"/>
      <c r="P14" s="33"/>
      <c r="Q14" s="10" t="s">
        <v>184</v>
      </c>
      <c r="R14" s="120">
        <f>R13/10^3</f>
        <v>2483.7992092966197</v>
      </c>
      <c r="S14" s="1"/>
      <c r="T14" s="1"/>
      <c r="U14" s="1"/>
    </row>
    <row r="15" spans="1:21" ht="63.3" customHeight="1" thickBot="1" x14ac:dyDescent="0.6">
      <c r="A15" s="11" t="s">
        <v>207</v>
      </c>
      <c r="B15" s="22">
        <f>_xlfn.CEILING.MATH(B17*B18/15000)</f>
        <v>13</v>
      </c>
      <c r="C15" s="11" t="s">
        <v>150</v>
      </c>
      <c r="D15" s="22">
        <f>G14*365*1000*32/6</f>
        <v>1806399424.942996</v>
      </c>
      <c r="E15" s="33"/>
      <c r="F15" s="9" t="s">
        <v>214</v>
      </c>
      <c r="G15" s="124">
        <f>G14*5</f>
        <v>4639.7245503672839</v>
      </c>
      <c r="H15" s="45" t="s">
        <v>144</v>
      </c>
      <c r="I15" s="33"/>
      <c r="J15" s="9" t="s">
        <v>151</v>
      </c>
      <c r="K15" s="9">
        <v>2</v>
      </c>
      <c r="L15" s="33" t="s">
        <v>39</v>
      </c>
      <c r="M15" s="33"/>
      <c r="N15" s="33"/>
      <c r="O15" s="33"/>
      <c r="P15" s="33"/>
      <c r="Q15" s="33"/>
      <c r="R15" s="33"/>
      <c r="S15" s="1"/>
      <c r="T15" s="1"/>
      <c r="U15" s="1"/>
    </row>
    <row r="16" spans="1:21" ht="43.5" thickBot="1" x14ac:dyDescent="0.6">
      <c r="A16" s="11" t="s">
        <v>208</v>
      </c>
      <c r="B16" s="22">
        <f>B15*15000</f>
        <v>195000</v>
      </c>
      <c r="C16" s="45"/>
      <c r="D16" s="45"/>
      <c r="E16" s="33"/>
      <c r="F16" s="9" t="s">
        <v>215</v>
      </c>
      <c r="G16" s="35">
        <f>G15*G12/10^6</f>
        <v>2.7838347302203705</v>
      </c>
      <c r="H16" s="33"/>
      <c r="I16" s="33"/>
      <c r="J16" s="9" t="s">
        <v>153</v>
      </c>
      <c r="K16" s="9">
        <v>225000</v>
      </c>
      <c r="L16" s="33"/>
      <c r="M16" s="33"/>
      <c r="N16" s="33"/>
      <c r="O16" s="33"/>
      <c r="P16" s="33"/>
      <c r="Q16" s="33"/>
      <c r="R16" s="33"/>
      <c r="S16" s="1"/>
      <c r="T16" s="1"/>
      <c r="U16" s="1"/>
    </row>
    <row r="17" spans="1:21" ht="29.1" thickBot="1" x14ac:dyDescent="0.6">
      <c r="A17" s="11" t="s">
        <v>209</v>
      </c>
      <c r="B17" s="22">
        <f>D13/D12</f>
        <v>6264.6069878376838</v>
      </c>
      <c r="C17" s="33"/>
      <c r="D17" s="33"/>
      <c r="E17" s="33"/>
      <c r="F17" s="10" t="s">
        <v>152</v>
      </c>
      <c r="G17" s="39">
        <v>0</v>
      </c>
      <c r="H17" s="33"/>
      <c r="I17" s="33"/>
      <c r="J17" s="9" t="s">
        <v>154</v>
      </c>
      <c r="K17" s="9">
        <f>K16*K15/10^6</f>
        <v>0.45</v>
      </c>
      <c r="L17" s="33"/>
      <c r="M17" s="33"/>
      <c r="N17" s="33"/>
      <c r="O17" s="33"/>
      <c r="P17" s="33"/>
      <c r="Q17" s="33"/>
      <c r="R17" s="33"/>
      <c r="S17" s="1"/>
      <c r="T17" s="1"/>
      <c r="U17" s="1"/>
    </row>
    <row r="18" spans="1:21" ht="29.1" thickBot="1" x14ac:dyDescent="0.6">
      <c r="A18" s="11" t="s">
        <v>155</v>
      </c>
      <c r="B18" s="22">
        <f>30</f>
        <v>30</v>
      </c>
      <c r="C18" s="45"/>
      <c r="D18" s="33"/>
      <c r="E18" s="33"/>
      <c r="H18" s="33"/>
      <c r="I18" s="33"/>
      <c r="J18" s="10" t="s">
        <v>47</v>
      </c>
      <c r="K18" s="10">
        <f>0.04*K17</f>
        <v>1.8000000000000002E-2</v>
      </c>
      <c r="L18" s="33"/>
      <c r="M18" s="33"/>
      <c r="N18" s="33"/>
      <c r="O18" s="33"/>
      <c r="P18" s="33"/>
      <c r="Q18" s="33"/>
      <c r="R18" s="33"/>
      <c r="S18" s="1"/>
      <c r="T18" s="1"/>
      <c r="U18" s="1"/>
    </row>
    <row r="19" spans="1:21" x14ac:dyDescent="0.55000000000000004">
      <c r="A19" s="1"/>
      <c r="B19" s="1"/>
      <c r="C19" s="1"/>
      <c r="D19" s="1"/>
      <c r="E19" s="1"/>
      <c r="F19" s="1"/>
      <c r="G19" s="1"/>
      <c r="H19" s="1"/>
      <c r="I19" s="1"/>
      <c r="J19" s="1"/>
      <c r="K19" s="1"/>
      <c r="L19" s="1"/>
      <c r="M19" s="1"/>
      <c r="N19" s="1"/>
      <c r="O19" s="1"/>
      <c r="P19" s="1"/>
      <c r="Q19" s="1"/>
      <c r="R19" s="1"/>
      <c r="S19" s="1"/>
      <c r="T19" s="1"/>
      <c r="U19" s="1"/>
    </row>
    <row r="20" spans="1:21" x14ac:dyDescent="0.55000000000000004">
      <c r="A20" s="1"/>
      <c r="B20" s="1"/>
      <c r="C20" s="1"/>
      <c r="D20" s="1"/>
      <c r="E20" s="1"/>
      <c r="F20" s="1"/>
      <c r="G20" s="1"/>
      <c r="H20" s="1"/>
      <c r="I20" s="1"/>
      <c r="J20" s="1"/>
      <c r="K20" s="1"/>
      <c r="L20" s="1"/>
      <c r="M20" s="1"/>
      <c r="N20" s="1"/>
      <c r="O20" s="1"/>
      <c r="P20" s="1"/>
      <c r="Q20" s="1"/>
      <c r="R20" s="1"/>
      <c r="S20" s="1"/>
      <c r="T20" s="1"/>
      <c r="U20" s="1"/>
    </row>
    <row r="21" spans="1:21" s="159" customFormat="1" ht="26.1" thickBot="1" x14ac:dyDescent="1">
      <c r="A21" s="329" t="s">
        <v>237</v>
      </c>
      <c r="B21" s="329"/>
      <c r="C21" s="329"/>
      <c r="D21" s="329"/>
      <c r="E21" s="329"/>
      <c r="F21" s="329"/>
      <c r="G21" s="329"/>
      <c r="H21" s="329"/>
      <c r="I21" s="329"/>
      <c r="J21" s="329"/>
      <c r="K21" s="329"/>
      <c r="L21" s="329"/>
      <c r="M21" s="329"/>
      <c r="N21" s="329"/>
      <c r="O21" s="329"/>
      <c r="P21" s="329"/>
      <c r="Q21" s="329"/>
      <c r="R21" s="329"/>
      <c r="S21" s="329"/>
    </row>
    <row r="22" spans="1:21" ht="14.7" thickBot="1" x14ac:dyDescent="0.6">
      <c r="D22" s="336" t="s">
        <v>220</v>
      </c>
      <c r="E22" s="337"/>
      <c r="F22" s="338"/>
      <c r="G22" s="336" t="s">
        <v>1</v>
      </c>
      <c r="H22" s="337"/>
      <c r="I22" s="338"/>
      <c r="J22" s="318" t="s">
        <v>193</v>
      </c>
      <c r="K22" s="319"/>
      <c r="N22" s="310" t="s">
        <v>190</v>
      </c>
      <c r="O22" s="311"/>
      <c r="P22" s="311"/>
      <c r="Q22" s="33"/>
      <c r="R22" s="327" t="s">
        <v>191</v>
      </c>
      <c r="S22" s="328"/>
    </row>
    <row r="23" spans="1:21" ht="29.1" thickBot="1" x14ac:dyDescent="0.6">
      <c r="D23" s="10" t="s">
        <v>314</v>
      </c>
      <c r="E23" s="58">
        <f>B3</f>
        <v>11500</v>
      </c>
      <c r="F23" s="124" t="s">
        <v>147</v>
      </c>
      <c r="G23" s="10" t="s">
        <v>225</v>
      </c>
      <c r="H23" s="39">
        <f>H2</f>
        <v>4500</v>
      </c>
      <c r="I23" s="124" t="s">
        <v>147</v>
      </c>
      <c r="J23" s="22" t="s">
        <v>235</v>
      </c>
      <c r="K23" s="11">
        <f>N14</f>
        <v>1016.0996765304352</v>
      </c>
      <c r="L23" t="s">
        <v>238</v>
      </c>
      <c r="N23" s="8" t="s">
        <v>255</v>
      </c>
      <c r="O23" s="165">
        <f>B17</f>
        <v>6264.6069878376838</v>
      </c>
      <c r="P23" s="11" t="s">
        <v>247</v>
      </c>
      <c r="Q23" s="33"/>
      <c r="R23" s="11" t="s">
        <v>232</v>
      </c>
      <c r="S23" s="11">
        <f>K15</f>
        <v>2</v>
      </c>
    </row>
    <row r="24" spans="1:21" ht="29.1" thickBot="1" x14ac:dyDescent="0.6">
      <c r="D24" s="11" t="s">
        <v>203</v>
      </c>
      <c r="E24" s="115">
        <f>B7</f>
        <v>650</v>
      </c>
      <c r="F24" s="115" t="s">
        <v>313</v>
      </c>
      <c r="G24" s="11" t="s">
        <v>203</v>
      </c>
      <c r="H24" s="22">
        <f>E3</f>
        <v>500</v>
      </c>
      <c r="I24" s="115" t="s">
        <v>307</v>
      </c>
      <c r="J24" s="333" t="s">
        <v>181</v>
      </c>
      <c r="K24" s="334"/>
      <c r="N24" s="11" t="s">
        <v>254</v>
      </c>
      <c r="O24" s="161">
        <f>D12</f>
        <v>0.79</v>
      </c>
      <c r="P24" s="8" t="s">
        <v>248</v>
      </c>
      <c r="Q24" s="33"/>
      <c r="R24" s="9" t="s">
        <v>233</v>
      </c>
      <c r="S24" s="9">
        <f>K14</f>
        <v>100</v>
      </c>
    </row>
    <row r="25" spans="1:21" ht="29.1" thickBot="1" x14ac:dyDescent="0.6">
      <c r="D25" s="9" t="s">
        <v>224</v>
      </c>
      <c r="E25" s="60">
        <f>B4</f>
        <v>18</v>
      </c>
      <c r="F25" s="124"/>
      <c r="G25" s="9" t="s">
        <v>224</v>
      </c>
      <c r="H25" s="35">
        <f>E4</f>
        <v>9</v>
      </c>
      <c r="I25" s="115"/>
      <c r="J25" s="22" t="s">
        <v>236</v>
      </c>
      <c r="K25" s="157">
        <f>R14</f>
        <v>2483.7992092966197</v>
      </c>
      <c r="N25" s="9" t="s">
        <v>244</v>
      </c>
      <c r="O25" s="166">
        <f>B13</f>
        <v>1806.3994249429961</v>
      </c>
      <c r="P25" s="11" t="s">
        <v>241</v>
      </c>
      <c r="Q25" s="33"/>
      <c r="R25" s="8" t="s">
        <v>234</v>
      </c>
      <c r="S25" s="8">
        <f>K12</f>
        <v>2.8</v>
      </c>
    </row>
    <row r="26" spans="1:21" ht="29.1" thickBot="1" x14ac:dyDescent="0.6">
      <c r="D26" s="11" t="s">
        <v>315</v>
      </c>
      <c r="E26" s="115">
        <f>B5</f>
        <v>5.6</v>
      </c>
      <c r="F26" s="115" t="s">
        <v>308</v>
      </c>
      <c r="G26" s="11" t="s">
        <v>201</v>
      </c>
      <c r="H26" s="22">
        <f>H3</f>
        <v>45</v>
      </c>
      <c r="I26" s="115" t="s">
        <v>308</v>
      </c>
      <c r="N26" s="11" t="s">
        <v>253</v>
      </c>
      <c r="O26" s="11">
        <f>B12</f>
        <v>455</v>
      </c>
      <c r="P26" s="11" t="s">
        <v>249</v>
      </c>
      <c r="Q26" s="33"/>
      <c r="R26" s="11" t="s">
        <v>170</v>
      </c>
      <c r="S26" s="115">
        <f>K13</f>
        <v>948.35969809507276</v>
      </c>
    </row>
    <row r="27" spans="1:21" ht="29.1" thickBot="1" x14ac:dyDescent="0.6">
      <c r="D27" s="9" t="s">
        <v>226</v>
      </c>
      <c r="E27" s="60">
        <f>B6</f>
        <v>3320</v>
      </c>
      <c r="F27" s="124"/>
      <c r="G27" s="9" t="s">
        <v>221</v>
      </c>
      <c r="H27" s="35">
        <f>E6</f>
        <v>6</v>
      </c>
      <c r="I27" s="115"/>
      <c r="J27" s="33"/>
      <c r="K27" s="33"/>
      <c r="N27" s="9" t="s">
        <v>229</v>
      </c>
      <c r="O27" s="9">
        <f>B18</f>
        <v>30</v>
      </c>
      <c r="P27" s="9" t="s">
        <v>250</v>
      </c>
      <c r="Q27" s="330" t="s">
        <v>231</v>
      </c>
      <c r="R27" s="156" t="s">
        <v>153</v>
      </c>
      <c r="S27" s="156">
        <f>K16</f>
        <v>225000</v>
      </c>
    </row>
    <row r="28" spans="1:21" ht="57.9" thickBot="1" x14ac:dyDescent="0.6">
      <c r="D28" s="11" t="s">
        <v>222</v>
      </c>
      <c r="E28" s="115">
        <f>B8</f>
        <v>100.8</v>
      </c>
      <c r="F28" s="115" t="s">
        <v>310</v>
      </c>
      <c r="G28" s="11" t="s">
        <v>309</v>
      </c>
      <c r="H28" s="22">
        <f>E8</f>
        <v>405</v>
      </c>
      <c r="I28" s="115" t="s">
        <v>310</v>
      </c>
      <c r="J28" s="33"/>
      <c r="K28" s="158"/>
      <c r="N28" s="11" t="s">
        <v>207</v>
      </c>
      <c r="O28" s="11">
        <f>B15</f>
        <v>13</v>
      </c>
      <c r="P28" s="11"/>
      <c r="Q28" s="330"/>
      <c r="R28" s="12" t="s">
        <v>154</v>
      </c>
      <c r="S28" s="12">
        <f>K17</f>
        <v>0.45</v>
      </c>
    </row>
    <row r="29" spans="1:21" ht="43.5" thickBot="1" x14ac:dyDescent="0.6">
      <c r="D29" s="152" t="s">
        <v>223</v>
      </c>
      <c r="E29" s="151">
        <f>B9</f>
        <v>334656</v>
      </c>
      <c r="F29" s="115" t="s">
        <v>311</v>
      </c>
      <c r="G29" s="152" t="s">
        <v>312</v>
      </c>
      <c r="H29" s="153">
        <f>E9</f>
        <v>2430</v>
      </c>
      <c r="I29" s="115" t="s">
        <v>311</v>
      </c>
      <c r="N29" s="11" t="s">
        <v>252</v>
      </c>
      <c r="O29" s="11">
        <f>B16</f>
        <v>195000</v>
      </c>
      <c r="P29" s="11" t="s">
        <v>251</v>
      </c>
      <c r="Q29" s="330"/>
      <c r="R29" s="155" t="s">
        <v>47</v>
      </c>
      <c r="S29" s="155">
        <f>K18</f>
        <v>1.8000000000000002E-2</v>
      </c>
    </row>
    <row r="30" spans="1:21" ht="29.1" thickBot="1" x14ac:dyDescent="0.6">
      <c r="M30" t="s">
        <v>231</v>
      </c>
      <c r="N30" s="10" t="s">
        <v>206</v>
      </c>
      <c r="O30" s="10">
        <f>B14</f>
        <v>1.7059999999999999E-2</v>
      </c>
      <c r="P30" s="58" t="s">
        <v>263</v>
      </c>
    </row>
    <row r="32" spans="1:21" ht="14.7" thickBot="1" x14ac:dyDescent="0.6"/>
    <row r="33" spans="5:23" ht="14.7" thickBot="1" x14ac:dyDescent="0.6">
      <c r="E33" s="312" t="s">
        <v>227</v>
      </c>
      <c r="F33" s="314"/>
      <c r="G33" s="154"/>
    </row>
    <row r="34" spans="5:23" ht="43.5" thickBot="1" x14ac:dyDescent="0.6">
      <c r="E34" s="143" t="s">
        <v>228</v>
      </c>
      <c r="F34" s="75">
        <f>K3</f>
        <v>337086</v>
      </c>
      <c r="G34" s="33"/>
      <c r="N34" s="335" t="s">
        <v>246</v>
      </c>
      <c r="O34" s="318"/>
      <c r="P34" s="319"/>
    </row>
    <row r="35" spans="5:23" ht="29.1" thickBot="1" x14ac:dyDescent="0.6">
      <c r="N35" s="9" t="s">
        <v>275</v>
      </c>
      <c r="O35" s="203">
        <f>G13</f>
        <v>38.6643712530607</v>
      </c>
      <c r="P35" s="124" t="s">
        <v>276</v>
      </c>
    </row>
    <row r="36" spans="5:23" ht="29.1" thickBot="1" x14ac:dyDescent="0.6">
      <c r="N36" s="11" t="s">
        <v>277</v>
      </c>
      <c r="O36" s="163">
        <f>G14</f>
        <v>927.94491007345687</v>
      </c>
      <c r="P36" s="115" t="s">
        <v>278</v>
      </c>
    </row>
    <row r="37" spans="5:23" ht="29.1" thickBot="1" x14ac:dyDescent="0.6">
      <c r="N37" s="9" t="s">
        <v>280</v>
      </c>
      <c r="O37" s="164">
        <f>G15</f>
        <v>4639.7245503672839</v>
      </c>
      <c r="P37" s="115" t="s">
        <v>279</v>
      </c>
      <c r="Q37" t="s">
        <v>236</v>
      </c>
      <c r="R37">
        <v>2483.2089090661511</v>
      </c>
    </row>
    <row r="38" spans="5:23" ht="14.7" thickBot="1" x14ac:dyDescent="0.6">
      <c r="N38" s="11" t="s">
        <v>236</v>
      </c>
      <c r="O38" s="157">
        <f>K25</f>
        <v>2483.7992092966197</v>
      </c>
      <c r="P38" s="168" t="s">
        <v>241</v>
      </c>
      <c r="U38" s="307" t="s">
        <v>271</v>
      </c>
      <c r="V38" s="308"/>
      <c r="W38" s="309"/>
    </row>
    <row r="39" spans="5:23" ht="29.1" thickBot="1" x14ac:dyDescent="0.6">
      <c r="M39" s="66" t="s">
        <v>231</v>
      </c>
      <c r="N39" s="155" t="s">
        <v>212</v>
      </c>
      <c r="O39" s="197">
        <f>G12</f>
        <v>600</v>
      </c>
      <c r="U39" s="11" t="s">
        <v>265</v>
      </c>
      <c r="V39" s="22">
        <f>O39</f>
        <v>600</v>
      </c>
      <c r="W39" s="115" t="s">
        <v>266</v>
      </c>
    </row>
    <row r="40" spans="5:23" ht="29.1" thickBot="1" x14ac:dyDescent="0.6">
      <c r="N40" s="155" t="s">
        <v>230</v>
      </c>
      <c r="O40" s="167">
        <f>G16</f>
        <v>2.7838347302203705</v>
      </c>
      <c r="U40" s="10" t="s">
        <v>272</v>
      </c>
      <c r="V40" s="190">
        <f>O40</f>
        <v>2.7838347302203705</v>
      </c>
      <c r="W40" s="168" t="s">
        <v>264</v>
      </c>
    </row>
    <row r="41" spans="5:23" ht="14.7" thickBot="1" x14ac:dyDescent="0.6">
      <c r="E41" s="322" t="s">
        <v>239</v>
      </c>
      <c r="F41" s="323"/>
      <c r="G41" s="324"/>
      <c r="U41" s="115" t="s">
        <v>267</v>
      </c>
      <c r="V41" s="192">
        <f>'costo idrogeno in 20 anni  (2)'!B24</f>
        <v>80</v>
      </c>
      <c r="W41" s="115" t="s">
        <v>266</v>
      </c>
    </row>
    <row r="42" spans="5:23" ht="29.1" thickBot="1" x14ac:dyDescent="0.6">
      <c r="E42" s="143" t="s">
        <v>227</v>
      </c>
      <c r="F42" s="161">
        <f>F34</f>
        <v>337086</v>
      </c>
      <c r="G42" s="115" t="s">
        <v>240</v>
      </c>
      <c r="U42" s="10" t="s">
        <v>273</v>
      </c>
      <c r="V42" s="190">
        <f>'costo idrogeno in 20 anni  (2)'!B25</f>
        <v>0.19870393674372958</v>
      </c>
      <c r="W42" s="168" t="s">
        <v>264</v>
      </c>
    </row>
    <row r="43" spans="5:23" ht="29.1" thickBot="1" x14ac:dyDescent="0.6">
      <c r="E43" s="143" t="s">
        <v>245</v>
      </c>
      <c r="F43" s="161">
        <f>G14*365</f>
        <v>338699.89217681176</v>
      </c>
      <c r="G43" s="115" t="s">
        <v>240</v>
      </c>
      <c r="U43" s="191" t="s">
        <v>269</v>
      </c>
      <c r="V43" s="115">
        <f>S27</f>
        <v>225000</v>
      </c>
      <c r="W43" s="194" t="s">
        <v>268</v>
      </c>
    </row>
    <row r="44" spans="5:23" ht="14.7" thickBot="1" x14ac:dyDescent="0.6">
      <c r="E44" s="11" t="s">
        <v>242</v>
      </c>
      <c r="F44" s="161">
        <f>K23</f>
        <v>1016.0996765304352</v>
      </c>
      <c r="G44" s="115" t="s">
        <v>241</v>
      </c>
      <c r="U44" s="43" t="s">
        <v>270</v>
      </c>
      <c r="V44" s="115">
        <f>S29</f>
        <v>1.8000000000000002E-2</v>
      </c>
      <c r="W44" s="168" t="s">
        <v>286</v>
      </c>
    </row>
    <row r="45" spans="5:23" ht="14.7" thickBot="1" x14ac:dyDescent="0.6">
      <c r="E45" s="11" t="s">
        <v>243</v>
      </c>
      <c r="F45" s="161">
        <f>K25</f>
        <v>2483.7992092966197</v>
      </c>
      <c r="G45" s="115" t="s">
        <v>241</v>
      </c>
      <c r="U45" s="193" t="s">
        <v>274</v>
      </c>
      <c r="V45" s="115">
        <f>S28</f>
        <v>0.45</v>
      </c>
      <c r="W45" s="194" t="s">
        <v>264</v>
      </c>
    </row>
    <row r="46" spans="5:23" ht="29.1" thickBot="1" x14ac:dyDescent="0.6">
      <c r="E46" s="10" t="s">
        <v>244</v>
      </c>
      <c r="F46" s="162">
        <f>O25</f>
        <v>1806.3994249429961</v>
      </c>
      <c r="G46" s="115" t="s">
        <v>241</v>
      </c>
      <c r="U46" s="45"/>
    </row>
  </sheetData>
  <mergeCells count="21">
    <mergeCell ref="E41:G41"/>
    <mergeCell ref="Q11:R11"/>
    <mergeCell ref="J11:K11"/>
    <mergeCell ref="R22:S22"/>
    <mergeCell ref="A21:S21"/>
    <mergeCell ref="Q27:Q29"/>
    <mergeCell ref="E33:F33"/>
    <mergeCell ref="F11:G11"/>
    <mergeCell ref="M11:N11"/>
    <mergeCell ref="J24:K24"/>
    <mergeCell ref="N22:P22"/>
    <mergeCell ref="N34:P34"/>
    <mergeCell ref="G22:I22"/>
    <mergeCell ref="D22:F22"/>
    <mergeCell ref="U38:W38"/>
    <mergeCell ref="G1:H1"/>
    <mergeCell ref="J2:L2"/>
    <mergeCell ref="A1:B1"/>
    <mergeCell ref="D1:E1"/>
    <mergeCell ref="J22:K22"/>
    <mergeCell ref="A11:D11"/>
  </mergeCells>
  <pageMargins left="0.7" right="0.7" top="0.75" bottom="0.75" header="0.3" footer="0.3"/>
  <pageSetup paperSize="9" orientation="portrait" verticalDpi="0" r:id="rId1"/>
  <ignoredErrors>
    <ignoredError sqref="H26"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0B58-1F1B-4785-BCBE-77BBA9004F38}">
  <dimension ref="A1:AK95"/>
  <sheetViews>
    <sheetView tabSelected="1" topLeftCell="D35" zoomScale="75" zoomScaleNormal="75" workbookViewId="0">
      <selection activeCell="P45" sqref="P45"/>
    </sheetView>
  </sheetViews>
  <sheetFormatPr defaultRowHeight="14.4" x14ac:dyDescent="0.55000000000000004"/>
  <cols>
    <col min="1" max="1" width="14" style="72" customWidth="1"/>
    <col min="2" max="2" width="16.62890625" style="72" bestFit="1" customWidth="1"/>
    <col min="3" max="3" width="24.05078125" style="72" bestFit="1" customWidth="1"/>
    <col min="4" max="4" width="22.578125" style="72" bestFit="1" customWidth="1"/>
    <col min="5" max="5" width="16.15625" style="72" customWidth="1"/>
    <col min="6" max="6" width="19.83984375" style="72" customWidth="1"/>
    <col min="7" max="7" width="16.89453125" style="72" bestFit="1" customWidth="1"/>
    <col min="8" max="8" width="16.41796875" style="72" bestFit="1" customWidth="1"/>
    <col min="9" max="9" width="24.41796875" style="72" bestFit="1" customWidth="1"/>
    <col min="10" max="10" width="25.47265625" style="72" bestFit="1" customWidth="1"/>
    <col min="11" max="11" width="17.05078125" style="72" bestFit="1" customWidth="1"/>
    <col min="12" max="12" width="16.41796875" style="72" bestFit="1" customWidth="1"/>
    <col min="13" max="13" width="20.68359375" style="72" bestFit="1" customWidth="1"/>
    <col min="14" max="14" width="15.15625" style="72" bestFit="1" customWidth="1"/>
    <col min="15" max="15" width="12.26171875" style="72" bestFit="1" customWidth="1"/>
    <col min="16" max="17" width="8.83984375" style="72"/>
    <col min="18" max="21" width="8.89453125" style="72" bestFit="1" customWidth="1"/>
    <col min="22" max="22" width="8.83984375" style="72"/>
    <col min="23" max="23" width="25.62890625" style="72" bestFit="1" customWidth="1"/>
    <col min="24" max="24" width="28.05078125" style="72" bestFit="1" customWidth="1"/>
    <col min="25" max="25" width="25.05078125" style="72" bestFit="1" customWidth="1"/>
    <col min="26" max="26" width="27.20703125" style="72" bestFit="1" customWidth="1"/>
    <col min="27" max="27" width="27.62890625" style="72" bestFit="1" customWidth="1"/>
    <col min="28" max="28" width="17.62890625" style="72" bestFit="1" customWidth="1"/>
    <col min="29" max="16384" width="8.83984375" style="72"/>
  </cols>
  <sheetData>
    <row r="1" spans="1:29" ht="26.1" thickBot="1" x14ac:dyDescent="1">
      <c r="A1" s="360" t="s">
        <v>418</v>
      </c>
      <c r="B1" s="361"/>
      <c r="C1" s="361"/>
      <c r="D1" s="361"/>
      <c r="E1" s="361"/>
      <c r="F1" s="361"/>
      <c r="G1" s="361"/>
      <c r="H1" s="361"/>
      <c r="L1" s="336" t="s">
        <v>194</v>
      </c>
      <c r="M1" s="337"/>
      <c r="N1" s="337"/>
      <c r="O1" s="338"/>
      <c r="P1" s="93"/>
      <c r="R1" s="362" t="s">
        <v>195</v>
      </c>
      <c r="S1" s="362"/>
      <c r="T1" s="362"/>
      <c r="U1" s="362"/>
      <c r="V1" s="83"/>
    </row>
    <row r="2" spans="1:29" s="91" customFormat="1" ht="14.7" thickBot="1" x14ac:dyDescent="0.6">
      <c r="A2" s="87" t="s">
        <v>52</v>
      </c>
      <c r="B2" s="87" t="s">
        <v>53</v>
      </c>
      <c r="C2" s="87" t="s">
        <v>54</v>
      </c>
      <c r="D2" s="87" t="s">
        <v>176</v>
      </c>
      <c r="E2" s="87" t="s">
        <v>177</v>
      </c>
      <c r="F2" s="127" t="s">
        <v>178</v>
      </c>
      <c r="G2" s="88" t="s">
        <v>159</v>
      </c>
      <c r="H2" s="88" t="s">
        <v>56</v>
      </c>
      <c r="I2" s="87" t="s">
        <v>179</v>
      </c>
      <c r="J2" s="87" t="s">
        <v>180</v>
      </c>
      <c r="K2" s="87" t="s">
        <v>59</v>
      </c>
      <c r="L2" s="89" t="s">
        <v>60</v>
      </c>
      <c r="M2" s="87" t="s">
        <v>61</v>
      </c>
      <c r="N2" s="90" t="s">
        <v>62</v>
      </c>
      <c r="O2" s="88" t="s">
        <v>63</v>
      </c>
      <c r="R2" s="89" t="s">
        <v>60</v>
      </c>
      <c r="S2" s="87" t="s">
        <v>61</v>
      </c>
      <c r="T2" s="90" t="s">
        <v>62</v>
      </c>
      <c r="U2" s="88" t="s">
        <v>63</v>
      </c>
      <c r="W2" s="87" t="s">
        <v>160</v>
      </c>
      <c r="X2" s="87" t="s">
        <v>170</v>
      </c>
      <c r="Y2" s="87" t="s">
        <v>161</v>
      </c>
      <c r="Z2" s="87" t="s">
        <v>162</v>
      </c>
      <c r="AA2" s="87" t="s">
        <v>163</v>
      </c>
      <c r="AB2" s="92"/>
      <c r="AC2" s="92"/>
    </row>
    <row r="3" spans="1:29" ht="14.7" thickBot="1" x14ac:dyDescent="0.6">
      <c r="A3" s="102">
        <v>0.293210686577691</v>
      </c>
      <c r="B3" s="103">
        <v>4.9247847663031656</v>
      </c>
      <c r="C3" s="94">
        <f>A3*B3</f>
        <v>1.4439995225751048</v>
      </c>
      <c r="D3" s="95">
        <f>B41*10^3/B35/B32</f>
        <v>0.22371353060061147</v>
      </c>
      <c r="E3" s="96">
        <f>-C41*10^3/B32/B35</f>
        <v>1.5218254996458862E-2</v>
      </c>
      <c r="F3" s="94">
        <f>$D$3/(A3+$D$3-$E$3)</f>
        <v>0.4459056647995871</v>
      </c>
      <c r="G3" s="97">
        <v>0.83</v>
      </c>
      <c r="H3" s="98">
        <v>100</v>
      </c>
      <c r="I3" s="99">
        <f>24*365</f>
        <v>8760</v>
      </c>
      <c r="J3" s="99">
        <f>I3*3600</f>
        <v>31536000</v>
      </c>
      <c r="K3" s="99">
        <v>1200</v>
      </c>
      <c r="L3" s="100">
        <f>$I$3*$H$3*C3*$K$3/10^6</f>
        <v>1517.9322981309499</v>
      </c>
      <c r="M3" s="101">
        <f>$I$3*$H$4*C3*$K$3/10^6</f>
        <v>7589.6614906547511</v>
      </c>
      <c r="N3" s="80">
        <f>$I$3*$H$5*C3*$K$3/10^6</f>
        <v>15179.322981309502</v>
      </c>
      <c r="O3" s="98">
        <f>$I$3*$H$6*C3*$K$3/10^6</f>
        <v>30358.645962619004</v>
      </c>
      <c r="R3" s="100">
        <f t="shared" ref="R3:R29" si="0">$G$3*B3*$B$36*$J$3*$H$3*$K$3/$B$35/$B$34/1000/1000</f>
        <v>160.32210223410485</v>
      </c>
      <c r="S3" s="101">
        <f>$G$3*B3*$B$36*$J$3*$H$4*$K$3/$B$35/$B$34/1000/1000</f>
        <v>801.61051117052432</v>
      </c>
      <c r="T3" s="80">
        <f t="shared" ref="T3:T29" si="1">$G$3*B3*$B$36*$J$3*$H$5*$K$3/$B$35/$B$34/1000/1000</f>
        <v>1603.2210223410486</v>
      </c>
      <c r="U3" s="98">
        <f t="shared" ref="U3:U29" si="2">$G$3*B3*$B$36*$J$3*$H$6*$K$3/$B$35/$B$34/1000/1000</f>
        <v>3206.4420446820973</v>
      </c>
      <c r="W3" s="80">
        <f>ROUNDUP('output H2 PROVA'!$K$3/'polarization curve'!S3,0)</f>
        <v>421</v>
      </c>
      <c r="X3" s="80">
        <f t="shared" ref="X3:X29" si="3">W3*M3/1000</f>
        <v>3195.2474875656503</v>
      </c>
      <c r="Y3" s="80">
        <f t="shared" ref="Y3:Y29" si="4">$K$3*$H$4*C3/1000/1000</f>
        <v>0.86639971354506284</v>
      </c>
      <c r="Z3" s="80">
        <f t="shared" ref="Z3:Z29" si="5">Y3*W3/1000</f>
        <v>0.36475427940247146</v>
      </c>
      <c r="AA3" s="80">
        <f>'costo electrolyser'!$B$3*((W3*S3/365/24/3600)^0.79)/((B3/1000)^0.32)/10^6</f>
        <v>100.87690558972518</v>
      </c>
    </row>
    <row r="4" spans="1:29" ht="14.7" thickBot="1" x14ac:dyDescent="0.6">
      <c r="A4" s="102">
        <v>0.32137552897135419</v>
      </c>
      <c r="B4" s="103">
        <v>9.9809964497884138</v>
      </c>
      <c r="C4" s="102">
        <f t="shared" ref="C4:C29" si="6">A4*B4</f>
        <v>3.2076480137119598</v>
      </c>
      <c r="D4" s="103"/>
      <c r="E4" s="96"/>
      <c r="F4" s="102">
        <f t="shared" ref="F4:F29" si="7">$D$3/(A4+$D$3-$E$3)</f>
        <v>0.42220391965138404</v>
      </c>
      <c r="G4" s="104"/>
      <c r="H4" s="105">
        <v>500</v>
      </c>
      <c r="I4" s="72" t="s">
        <v>64</v>
      </c>
      <c r="K4" s="72" t="s">
        <v>218</v>
      </c>
      <c r="L4" s="106">
        <f>$I$3*$H$3*C4*$K$3/10^6</f>
        <v>3371.8795920140119</v>
      </c>
      <c r="M4" s="107">
        <f t="shared" ref="M4:M29" si="8">$I$3*$H$4*C4*$K$3/10^6</f>
        <v>16859.397960070062</v>
      </c>
      <c r="N4" s="80">
        <f t="shared" ref="N4:N29" si="9">$I$3*$H$5*C4*$K$3/10^6</f>
        <v>33718.795920140125</v>
      </c>
      <c r="O4" s="104">
        <f t="shared" ref="O4:O29" si="10">$I$3*$H$6*C4*$K$3/10^6</f>
        <v>67437.591840280249</v>
      </c>
      <c r="R4" s="100">
        <f t="shared" si="0"/>
        <v>324.9226939154949</v>
      </c>
      <c r="S4" s="101">
        <f t="shared" ref="S4:S29" si="11">$G$3*B4*$B$36*$J$3*$H$4*$K$3/$B$35/$B$34/1000/1000</f>
        <v>1624.6134695774745</v>
      </c>
      <c r="T4" s="80">
        <f t="shared" si="1"/>
        <v>3249.2269391549489</v>
      </c>
      <c r="U4" s="98">
        <f t="shared" si="2"/>
        <v>6498.4538783098978</v>
      </c>
      <c r="W4" s="80">
        <f>ROUNDUP('output H2 PROVA'!$K$3/'polarization curve'!S4,0)</f>
        <v>208</v>
      </c>
      <c r="X4" s="81">
        <f t="shared" si="3"/>
        <v>3506.7547756945728</v>
      </c>
      <c r="Y4" s="81">
        <f t="shared" si="4"/>
        <v>1.9245888082271758</v>
      </c>
      <c r="Z4" s="81">
        <f t="shared" si="5"/>
        <v>0.40031447211125259</v>
      </c>
      <c r="AA4" s="81">
        <f>'costo electrolyser'!$B$3*((W4*S4/365/24/3600)^0.79)/((B4/1000)^0.32)/10^6</f>
        <v>80.550576763881054</v>
      </c>
    </row>
    <row r="5" spans="1:29" ht="14.7" thickBot="1" x14ac:dyDescent="0.6">
      <c r="A5" s="102">
        <v>0.3390131632486979</v>
      </c>
      <c r="B5" s="103">
        <v>14.939795600043405</v>
      </c>
      <c r="C5" s="102">
        <f t="shared" si="6"/>
        <v>5.0647873646596935</v>
      </c>
      <c r="D5" s="103"/>
      <c r="E5" s="96"/>
      <c r="F5" s="102">
        <f t="shared" si="7"/>
        <v>0.40860289033962666</v>
      </c>
      <c r="G5" s="104"/>
      <c r="H5" s="104">
        <v>1000</v>
      </c>
      <c r="L5" s="106">
        <f t="shared" ref="L5:L22" si="12">$I$3*$H$3*C5*$K$3/10^6</f>
        <v>5324.1044777302704</v>
      </c>
      <c r="M5" s="107">
        <f t="shared" si="8"/>
        <v>26620.522388651349</v>
      </c>
      <c r="N5" s="80">
        <f t="shared" si="9"/>
        <v>53241.044777302697</v>
      </c>
      <c r="O5" s="104">
        <f t="shared" si="10"/>
        <v>106482.08955460539</v>
      </c>
      <c r="R5" s="100">
        <f t="shared" si="0"/>
        <v>486.3521049560004</v>
      </c>
      <c r="S5" s="101">
        <f t="shared" si="11"/>
        <v>2431.7605247800016</v>
      </c>
      <c r="T5" s="80">
        <f t="shared" si="1"/>
        <v>4863.5210495600031</v>
      </c>
      <c r="U5" s="98">
        <f t="shared" si="2"/>
        <v>9727.0420991200062</v>
      </c>
      <c r="W5" s="80">
        <f>ROUNDUP('output H2 PROVA'!$K$3/'polarization curve'!S5,0)</f>
        <v>139</v>
      </c>
      <c r="X5" s="81">
        <f t="shared" si="3"/>
        <v>3700.2526120225371</v>
      </c>
      <c r="Y5" s="81">
        <f t="shared" si="4"/>
        <v>3.0388724187958158</v>
      </c>
      <c r="Z5" s="81">
        <f t="shared" si="5"/>
        <v>0.42240326621261842</v>
      </c>
      <c r="AA5" s="81">
        <f>'costo electrolyser'!$B$3*((W5*S5/365/24/3600)^0.79)/((B5/1000)^0.32)/10^6</f>
        <v>70.812604264428373</v>
      </c>
    </row>
    <row r="6" spans="1:29" ht="14.7" thickBot="1" x14ac:dyDescent="0.6">
      <c r="A6" s="102">
        <v>0.35459628634982637</v>
      </c>
      <c r="B6" s="103">
        <v>19.995456271701389</v>
      </c>
      <c r="C6" s="102">
        <f t="shared" si="6"/>
        <v>7.0903145378156571</v>
      </c>
      <c r="D6" s="103"/>
      <c r="E6" s="96"/>
      <c r="F6" s="102">
        <f t="shared" si="7"/>
        <v>0.39729512163937458</v>
      </c>
      <c r="G6" s="104"/>
      <c r="H6" s="77">
        <v>2000</v>
      </c>
      <c r="L6" s="106">
        <f t="shared" si="12"/>
        <v>7453.3386421518189</v>
      </c>
      <c r="M6" s="107">
        <f t="shared" si="8"/>
        <v>37266.693210759091</v>
      </c>
      <c r="N6" s="80">
        <f t="shared" si="9"/>
        <v>74533.386421518182</v>
      </c>
      <c r="O6" s="104">
        <f t="shared" si="10"/>
        <v>149066.77284303636</v>
      </c>
      <c r="R6" s="100">
        <f t="shared" si="0"/>
        <v>650.93475892463846</v>
      </c>
      <c r="S6" s="101">
        <f t="shared" si="11"/>
        <v>3254.6737946231929</v>
      </c>
      <c r="T6" s="80">
        <f t="shared" si="1"/>
        <v>6509.3475892463857</v>
      </c>
      <c r="U6" s="98">
        <f t="shared" si="2"/>
        <v>13018.695178492771</v>
      </c>
      <c r="W6" s="80">
        <f>ROUNDUP('output H2 PROVA'!$K$3/'polarization curve'!S6,0)</f>
        <v>104</v>
      </c>
      <c r="X6" s="81">
        <f t="shared" si="3"/>
        <v>3875.7360939189457</v>
      </c>
      <c r="Y6" s="81">
        <f t="shared" si="4"/>
        <v>4.2541887226893937</v>
      </c>
      <c r="Z6" s="81">
        <f t="shared" si="5"/>
        <v>0.44243562715969692</v>
      </c>
      <c r="AA6" s="81">
        <f>'costo electrolyser'!$B$3*((W6*S6/365/24/3600)^0.79)/((B6/1000)^0.32)/10^6</f>
        <v>64.577457772254078</v>
      </c>
    </row>
    <row r="7" spans="1:29" ht="14.7" thickBot="1" x14ac:dyDescent="0.6">
      <c r="A7" s="102">
        <v>0.37881961398654512</v>
      </c>
      <c r="B7" s="103">
        <v>30.014239417182079</v>
      </c>
      <c r="C7" s="102">
        <f t="shared" si="6"/>
        <v>11.369982590116662</v>
      </c>
      <c r="D7" s="103"/>
      <c r="E7" s="96"/>
      <c r="F7" s="102">
        <f t="shared" si="7"/>
        <v>0.38090900565541325</v>
      </c>
      <c r="G7" s="104"/>
      <c r="L7" s="106">
        <f t="shared" si="12"/>
        <v>11952.125698730637</v>
      </c>
      <c r="M7" s="107">
        <f t="shared" si="8"/>
        <v>59760.628493653167</v>
      </c>
      <c r="N7" s="80">
        <f t="shared" si="9"/>
        <v>119521.25698730633</v>
      </c>
      <c r="O7" s="104">
        <f t="shared" si="10"/>
        <v>239042.51397461267</v>
      </c>
      <c r="R7" s="100">
        <f t="shared" si="0"/>
        <v>977.0875659876798</v>
      </c>
      <c r="S7" s="101">
        <f t="shared" si="11"/>
        <v>4885.4378299383998</v>
      </c>
      <c r="T7" s="80">
        <f t="shared" si="1"/>
        <v>9770.8756598767995</v>
      </c>
      <c r="U7" s="98">
        <f t="shared" si="2"/>
        <v>19541.751319753599</v>
      </c>
      <c r="W7" s="80">
        <f>ROUNDUP('output H2 PROVA'!$K$3/'polarization curve'!S7,0)</f>
        <v>69</v>
      </c>
      <c r="X7" s="81">
        <f t="shared" si="3"/>
        <v>4123.4833660620679</v>
      </c>
      <c r="Y7" s="81">
        <f t="shared" si="4"/>
        <v>6.8219895540699973</v>
      </c>
      <c r="Z7" s="81">
        <f t="shared" si="5"/>
        <v>0.47071727923082984</v>
      </c>
      <c r="AA7" s="81">
        <f>'costo electrolyser'!$B$3*((W7*S7/365/24/3600)^0.79)/((B7/1000)^0.32)/10^6</f>
        <v>56.52252035782336</v>
      </c>
    </row>
    <row r="8" spans="1:29" ht="14.7" thickBot="1" x14ac:dyDescent="0.6">
      <c r="A8" s="102">
        <v>0.39989742702907988</v>
      </c>
      <c r="B8" s="103">
        <v>39.942211574978302</v>
      </c>
      <c r="C8" s="102">
        <f t="shared" si="6"/>
        <v>15.972787638684956</v>
      </c>
      <c r="D8" s="103"/>
      <c r="E8" s="96"/>
      <c r="F8" s="102">
        <f t="shared" si="7"/>
        <v>0.36771238318990235</v>
      </c>
      <c r="G8" s="104"/>
      <c r="L8" s="106">
        <f t="shared" si="12"/>
        <v>16790.594365785626</v>
      </c>
      <c r="M8" s="107">
        <f t="shared" si="8"/>
        <v>83952.97182892813</v>
      </c>
      <c r="N8" s="80">
        <f t="shared" si="9"/>
        <v>167905.94365785626</v>
      </c>
      <c r="O8" s="104">
        <f t="shared" si="10"/>
        <v>335811.88731571252</v>
      </c>
      <c r="R8" s="100">
        <f t="shared" si="0"/>
        <v>1300.284100006842</v>
      </c>
      <c r="S8" s="101">
        <f t="shared" si="11"/>
        <v>6501.4205000342099</v>
      </c>
      <c r="T8" s="80">
        <f t="shared" si="1"/>
        <v>13002.84100006842</v>
      </c>
      <c r="U8" s="98">
        <f t="shared" si="2"/>
        <v>26005.68200013684</v>
      </c>
      <c r="W8" s="80">
        <f>ROUNDUP('output H2 PROVA'!$K$3/'polarization curve'!S8,0)</f>
        <v>52</v>
      </c>
      <c r="X8" s="81">
        <f t="shared" si="3"/>
        <v>4365.5545351042629</v>
      </c>
      <c r="Y8" s="81">
        <f t="shared" si="4"/>
        <v>9.5836725832109728</v>
      </c>
      <c r="Z8" s="81">
        <f t="shared" si="5"/>
        <v>0.49835097432697056</v>
      </c>
      <c r="AA8" s="81">
        <f>'costo electrolyser'!$B$3*((W8*S8/365/24/3600)^0.79)/((B8/1000)^0.32)/10^6</f>
        <v>51.701437512289864</v>
      </c>
    </row>
    <row r="9" spans="1:29" ht="14.7" thickBot="1" x14ac:dyDescent="0.6">
      <c r="A9" s="102">
        <v>0.41940867106119789</v>
      </c>
      <c r="B9" s="103">
        <v>49.972428215874565</v>
      </c>
      <c r="C9" s="102">
        <f t="shared" si="6"/>
        <v>20.95886970772106</v>
      </c>
      <c r="D9" s="103"/>
      <c r="E9" s="96"/>
      <c r="F9" s="102">
        <f t="shared" si="7"/>
        <v>0.35628623102100443</v>
      </c>
      <c r="G9" s="104"/>
      <c r="L9" s="106">
        <f t="shared" si="12"/>
        <v>22031.963836756378</v>
      </c>
      <c r="M9" s="107">
        <f t="shared" si="8"/>
        <v>110159.81918378189</v>
      </c>
      <c r="N9" s="80">
        <f t="shared" si="9"/>
        <v>220319.63836756378</v>
      </c>
      <c r="O9" s="104">
        <f t="shared" si="10"/>
        <v>440639.27673512755</v>
      </c>
      <c r="R9" s="100">
        <f t="shared" si="0"/>
        <v>1626.80911460948</v>
      </c>
      <c r="S9" s="101">
        <f t="shared" si="11"/>
        <v>8134.0455730474014</v>
      </c>
      <c r="T9" s="80">
        <f t="shared" si="1"/>
        <v>16268.091146094803</v>
      </c>
      <c r="U9" s="98">
        <f t="shared" si="2"/>
        <v>32536.182292189606</v>
      </c>
      <c r="W9" s="80">
        <f>ROUNDUP('output H2 PROVA'!$K$3/'polarization curve'!S9,0)</f>
        <v>42</v>
      </c>
      <c r="X9" s="81">
        <f t="shared" si="3"/>
        <v>4626.7124057188394</v>
      </c>
      <c r="Y9" s="81">
        <f t="shared" si="4"/>
        <v>12.575321824632637</v>
      </c>
      <c r="Z9" s="81">
        <f t="shared" si="5"/>
        <v>0.52816351663457073</v>
      </c>
      <c r="AA9" s="81">
        <f>'costo electrolyser'!$B$3*((W9*S9/365/24/3600)^0.79)/((B9/1000)^0.32)/10^6</f>
        <v>48.524060833673424</v>
      </c>
    </row>
    <row r="10" spans="1:29" ht="14.7" thickBot="1" x14ac:dyDescent="0.6">
      <c r="A10" s="102">
        <v>0.43752916124131946</v>
      </c>
      <c r="B10" s="103">
        <v>59.986114501953125</v>
      </c>
      <c r="C10" s="102">
        <f t="shared" si="6"/>
        <v>26.2456743641653</v>
      </c>
      <c r="D10" s="103"/>
      <c r="E10" s="96"/>
      <c r="F10" s="102">
        <f t="shared" si="7"/>
        <v>0.34629267538702002</v>
      </c>
      <c r="G10" s="104"/>
      <c r="L10" s="106">
        <f t="shared" si="12"/>
        <v>27589.452891610566</v>
      </c>
      <c r="M10" s="107">
        <f t="shared" si="8"/>
        <v>137947.26445805278</v>
      </c>
      <c r="N10" s="80">
        <f t="shared" si="9"/>
        <v>275894.52891610557</v>
      </c>
      <c r="O10" s="104">
        <f t="shared" si="10"/>
        <v>551789.05783221114</v>
      </c>
      <c r="R10" s="100">
        <f t="shared" si="0"/>
        <v>1952.7959978295685</v>
      </c>
      <c r="S10" s="101">
        <f t="shared" si="11"/>
        <v>9763.9799891478433</v>
      </c>
      <c r="T10" s="80">
        <f t="shared" si="1"/>
        <v>19527.959978295687</v>
      </c>
      <c r="U10" s="98">
        <f t="shared" si="2"/>
        <v>39055.919956591373</v>
      </c>
      <c r="W10" s="80">
        <f>ROUNDUP('output H2 PROVA'!$K$3/'polarization curve'!S10,0)</f>
        <v>35</v>
      </c>
      <c r="X10" s="81">
        <f t="shared" si="3"/>
        <v>4828.1542560318476</v>
      </c>
      <c r="Y10" s="81">
        <f t="shared" si="4"/>
        <v>15.74740461849918</v>
      </c>
      <c r="Z10" s="81">
        <f t="shared" si="5"/>
        <v>0.55115916164747136</v>
      </c>
      <c r="AA10" s="81">
        <f>'costo electrolyser'!$B$3*((W10*S10/365/24/3600)^0.79)/((B10/1000)^0.32)/10^6</f>
        <v>45.780916791451737</v>
      </c>
    </row>
    <row r="11" spans="1:29" ht="14.7" thickBot="1" x14ac:dyDescent="0.6">
      <c r="A11" s="102">
        <v>0.45596279568142362</v>
      </c>
      <c r="B11" s="103">
        <v>69.99969482421875</v>
      </c>
      <c r="C11" s="102">
        <f t="shared" si="6"/>
        <v>31.91725654889726</v>
      </c>
      <c r="D11" s="103"/>
      <c r="E11" s="96"/>
      <c r="F11" s="102">
        <f t="shared" si="7"/>
        <v>0.33668569962251543</v>
      </c>
      <c r="G11" s="104"/>
      <c r="L11" s="106">
        <f t="shared" si="12"/>
        <v>33551.420084200799</v>
      </c>
      <c r="M11" s="107">
        <f t="shared" si="8"/>
        <v>167757.100421004</v>
      </c>
      <c r="N11" s="80">
        <f t="shared" si="9"/>
        <v>335514.20084200799</v>
      </c>
      <c r="O11" s="104">
        <f t="shared" si="10"/>
        <v>671028.40168401599</v>
      </c>
      <c r="R11" s="100">
        <f t="shared" si="0"/>
        <v>2278.7794314895123</v>
      </c>
      <c r="S11" s="101">
        <f t="shared" si="11"/>
        <v>11393.897157447564</v>
      </c>
      <c r="T11" s="80">
        <f t="shared" si="1"/>
        <v>22787.794314895127</v>
      </c>
      <c r="U11" s="98">
        <f t="shared" si="2"/>
        <v>45575.588629790254</v>
      </c>
      <c r="W11" s="80">
        <f>ROUNDUP('output H2 PROVA'!$K$3/'polarization curve'!S11,0)</f>
        <v>30</v>
      </c>
      <c r="X11" s="81">
        <f t="shared" si="3"/>
        <v>5032.7130126301199</v>
      </c>
      <c r="Y11" s="81">
        <f t="shared" si="4"/>
        <v>19.150353929338355</v>
      </c>
      <c r="Z11" s="81">
        <f t="shared" si="5"/>
        <v>0.57451061788015068</v>
      </c>
      <c r="AA11" s="81">
        <f>'costo electrolyser'!$B$3*((W11*S11/365/24/3600)^0.79)/((B11/1000)^0.32)/10^6</f>
        <v>43.582071257101042</v>
      </c>
    </row>
    <row r="12" spans="1:29" ht="14.7" thickBot="1" x14ac:dyDescent="0.6">
      <c r="A12" s="102">
        <v>0.47300703260633681</v>
      </c>
      <c r="B12" s="103">
        <v>80.013275146484375</v>
      </c>
      <c r="C12" s="102">
        <f t="shared" si="6"/>
        <v>37.846841846152934</v>
      </c>
      <c r="D12" s="103"/>
      <c r="E12" s="96"/>
      <c r="F12" s="102">
        <f t="shared" si="7"/>
        <v>0.32826525736654599</v>
      </c>
      <c r="G12" s="104"/>
      <c r="L12" s="106">
        <f t="shared" si="12"/>
        <v>39784.600148675963</v>
      </c>
      <c r="M12" s="107">
        <f t="shared" si="8"/>
        <v>198923.00074337982</v>
      </c>
      <c r="N12" s="80">
        <f t="shared" si="9"/>
        <v>397846.00148675963</v>
      </c>
      <c r="O12" s="104">
        <f t="shared" si="10"/>
        <v>795692.00297351927</v>
      </c>
      <c r="R12" s="100">
        <f t="shared" si="0"/>
        <v>2604.7628651494565</v>
      </c>
      <c r="S12" s="101">
        <f t="shared" si="11"/>
        <v>13023.814325747282</v>
      </c>
      <c r="T12" s="80">
        <f t="shared" si="1"/>
        <v>26047.628651494564</v>
      </c>
      <c r="U12" s="98">
        <f t="shared" si="2"/>
        <v>52095.257302989128</v>
      </c>
      <c r="W12" s="80">
        <f>ROUNDUP('output H2 PROVA'!$K$3/'polarization curve'!S12,0)</f>
        <v>26</v>
      </c>
      <c r="X12" s="81">
        <f t="shared" si="3"/>
        <v>5171.9980193278752</v>
      </c>
      <c r="Y12" s="81">
        <f t="shared" si="4"/>
        <v>22.708105107691761</v>
      </c>
      <c r="Z12" s="81">
        <f t="shared" si="5"/>
        <v>0.59041073279998579</v>
      </c>
      <c r="AA12" s="81">
        <f>'costo electrolyser'!$B$3*((W12*S12/365/24/3600)^0.79)/((B12/1000)^0.32)/10^6</f>
        <v>41.447848660685061</v>
      </c>
    </row>
    <row r="13" spans="1:29" ht="14.7" thickBot="1" x14ac:dyDescent="0.6">
      <c r="A13" s="102">
        <v>0.48929782443576386</v>
      </c>
      <c r="B13" s="103">
        <v>90.028762817382813</v>
      </c>
      <c r="C13" s="102">
        <f t="shared" si="6"/>
        <v>44.050877783188803</v>
      </c>
      <c r="D13" s="103"/>
      <c r="E13" s="96"/>
      <c r="F13" s="102">
        <f t="shared" si="7"/>
        <v>0.32060152298412553</v>
      </c>
      <c r="G13" s="104"/>
      <c r="L13" s="106">
        <f t="shared" si="12"/>
        <v>46306.282725688063</v>
      </c>
      <c r="M13" s="107">
        <f t="shared" si="8"/>
        <v>231531.41362844035</v>
      </c>
      <c r="N13" s="80">
        <f t="shared" si="9"/>
        <v>463062.8272568807</v>
      </c>
      <c r="O13" s="104">
        <f t="shared" si="10"/>
        <v>926125.6545137614</v>
      </c>
      <c r="R13" s="100">
        <f t="shared" si="0"/>
        <v>2930.8083908920025</v>
      </c>
      <c r="S13" s="101">
        <f t="shared" si="11"/>
        <v>14654.041954460012</v>
      </c>
      <c r="T13" s="80">
        <f t="shared" si="1"/>
        <v>29308.083908920024</v>
      </c>
      <c r="U13" s="98">
        <f t="shared" si="2"/>
        <v>58616.167817840047</v>
      </c>
      <c r="W13" s="80">
        <f>ROUNDUP('output H2 PROVA'!$K$3/'polarization curve'!S13,0)</f>
        <v>24</v>
      </c>
      <c r="X13" s="81">
        <f t="shared" si="3"/>
        <v>5556.7539270825682</v>
      </c>
      <c r="Y13" s="81">
        <f t="shared" si="4"/>
        <v>26.430526669913281</v>
      </c>
      <c r="Z13" s="81">
        <f t="shared" si="5"/>
        <v>0.63433264007791879</v>
      </c>
      <c r="AA13" s="81">
        <f>'costo electrolyser'!$B$3*((W13*S13/365/24/3600)^0.79)/((B13/1000)^0.32)/10^6</f>
        <v>41.125668435678804</v>
      </c>
    </row>
    <row r="14" spans="1:29" ht="14.7" thickBot="1" x14ac:dyDescent="0.6">
      <c r="A14" s="102">
        <v>0.50479058159722223</v>
      </c>
      <c r="B14" s="103">
        <v>100.0428729587131</v>
      </c>
      <c r="C14" s="102">
        <f t="shared" si="6"/>
        <v>50.500700025485806</v>
      </c>
      <c r="D14" s="103"/>
      <c r="E14" s="96"/>
      <c r="F14" s="102">
        <f t="shared" si="7"/>
        <v>0.31363797325011683</v>
      </c>
      <c r="G14" s="104"/>
      <c r="L14" s="106">
        <f t="shared" si="12"/>
        <v>53086.33586679068</v>
      </c>
      <c r="M14" s="107">
        <f t="shared" si="8"/>
        <v>265431.67933395336</v>
      </c>
      <c r="N14" s="80">
        <f t="shared" si="9"/>
        <v>530863.35866790672</v>
      </c>
      <c r="O14" s="104">
        <f t="shared" si="10"/>
        <v>1061726.7173358134</v>
      </c>
      <c r="R14" s="100">
        <f t="shared" si="0"/>
        <v>3256.8090723526689</v>
      </c>
      <c r="S14" s="101">
        <f t="shared" si="11"/>
        <v>16284.045361763343</v>
      </c>
      <c r="T14" s="80">
        <f t="shared" si="1"/>
        <v>32568.090723526686</v>
      </c>
      <c r="U14" s="98">
        <f t="shared" si="2"/>
        <v>65136.181447053372</v>
      </c>
      <c r="W14" s="80">
        <f>ROUNDUP('output H2 PROVA'!$K$3/'polarization curve'!S14,0)</f>
        <v>21</v>
      </c>
      <c r="X14" s="81">
        <f t="shared" si="3"/>
        <v>5574.0652660130208</v>
      </c>
      <c r="Y14" s="81">
        <f t="shared" si="4"/>
        <v>30.300420015291483</v>
      </c>
      <c r="Z14" s="81">
        <f t="shared" si="5"/>
        <v>0.63630882032112113</v>
      </c>
      <c r="AA14" s="81">
        <f>'costo electrolyser'!$B$3*((W14*S14/365/24/3600)^0.79)/((B14/1000)^0.32)/10^6</f>
        <v>38.8890757754532</v>
      </c>
    </row>
    <row r="15" spans="1:29" ht="14.7" thickBot="1" x14ac:dyDescent="0.6">
      <c r="A15" s="102">
        <v>0.53359476725260413</v>
      </c>
      <c r="B15" s="103">
        <v>119.99130249023438</v>
      </c>
      <c r="C15" s="102">
        <f t="shared" si="6"/>
        <v>64.026731124613434</v>
      </c>
      <c r="D15" s="103"/>
      <c r="E15" s="96"/>
      <c r="F15" s="102">
        <f t="shared" si="7"/>
        <v>0.30146413195277733</v>
      </c>
      <c r="G15" s="104"/>
      <c r="L15" s="106">
        <f t="shared" si="12"/>
        <v>67304.899758193642</v>
      </c>
      <c r="M15" s="107">
        <f t="shared" si="8"/>
        <v>336524.49879096821</v>
      </c>
      <c r="N15" s="80">
        <f t="shared" si="9"/>
        <v>673048.99758193642</v>
      </c>
      <c r="O15" s="104">
        <f t="shared" si="10"/>
        <v>1346097.9951638728</v>
      </c>
      <c r="R15" s="100">
        <f t="shared" si="0"/>
        <v>3906.2129164851563</v>
      </c>
      <c r="S15" s="101">
        <f t="shared" si="11"/>
        <v>19531.064582425781</v>
      </c>
      <c r="T15" s="80">
        <f t="shared" si="1"/>
        <v>39062.129164851562</v>
      </c>
      <c r="U15" s="98">
        <f t="shared" si="2"/>
        <v>78124.258329703123</v>
      </c>
      <c r="W15" s="80">
        <f>ROUNDUP('output H2 PROVA'!$K$3/'polarization curve'!S15,0)</f>
        <v>18</v>
      </c>
      <c r="X15" s="81">
        <f t="shared" si="3"/>
        <v>6057.4409782374278</v>
      </c>
      <c r="Y15" s="81">
        <f t="shared" si="4"/>
        <v>38.41603867476806</v>
      </c>
      <c r="Z15" s="81">
        <f t="shared" si="5"/>
        <v>0.69148869614582509</v>
      </c>
      <c r="AA15" s="81">
        <f>'costo electrolyser'!$B$3*((W15*S15/365/24/3600)^0.79)/((B15/1000)^0.32)/10^6</f>
        <v>37.501838229020947</v>
      </c>
    </row>
    <row r="16" spans="1:29" ht="14.7" thickBot="1" x14ac:dyDescent="0.6">
      <c r="A16" s="102">
        <v>0.56194017198350699</v>
      </c>
      <c r="B16" s="103">
        <v>140.01846313476563</v>
      </c>
      <c r="C16" s="102">
        <f t="shared" si="6"/>
        <v>78.681999254816532</v>
      </c>
      <c r="D16" s="103"/>
      <c r="E16" s="96"/>
      <c r="F16" s="102">
        <f t="shared" si="7"/>
        <v>0.29037284213893533</v>
      </c>
      <c r="G16" s="104"/>
      <c r="L16" s="106">
        <f t="shared" si="12"/>
        <v>82710.517616663143</v>
      </c>
      <c r="M16" s="107">
        <f t="shared" si="8"/>
        <v>413552.5880833157</v>
      </c>
      <c r="N16" s="80">
        <f t="shared" si="9"/>
        <v>827105.1761666314</v>
      </c>
      <c r="O16" s="104">
        <f t="shared" si="10"/>
        <v>1654210.3523332628</v>
      </c>
      <c r="R16" s="100">
        <f t="shared" si="0"/>
        <v>4558.1797838050443</v>
      </c>
      <c r="S16" s="101">
        <f t="shared" si="11"/>
        <v>22790.898919025225</v>
      </c>
      <c r="T16" s="80">
        <f t="shared" si="1"/>
        <v>45581.79783805045</v>
      </c>
      <c r="U16" s="98">
        <f t="shared" si="2"/>
        <v>91163.5956761009</v>
      </c>
      <c r="W16" s="80">
        <f>ROUNDUP('output H2 PROVA'!$K$3/'polarization curve'!S16,0)</f>
        <v>15</v>
      </c>
      <c r="X16" s="81">
        <f t="shared" si="3"/>
        <v>6203.2888212497355</v>
      </c>
      <c r="Y16" s="81">
        <f t="shared" si="4"/>
        <v>47.20919955288992</v>
      </c>
      <c r="Z16" s="81">
        <f t="shared" si="5"/>
        <v>0.70813799329334881</v>
      </c>
      <c r="AA16" s="81">
        <f>'costo electrolyser'!$B$3*((W16*S16/365/24/3600)^0.79)/((B16/1000)^0.32)/10^6</f>
        <v>34.91451993407653</v>
      </c>
    </row>
    <row r="17" spans="1:34" s="184" customFormat="1" ht="14.7" thickBot="1" x14ac:dyDescent="0.6">
      <c r="A17" s="102">
        <v>0.58902028401692708</v>
      </c>
      <c r="B17" s="103">
        <v>160.064697265625</v>
      </c>
      <c r="C17" s="180">
        <f t="shared" si="6"/>
        <v>94.281353444481894</v>
      </c>
      <c r="D17" s="181"/>
      <c r="E17" s="182"/>
      <c r="F17" s="180">
        <f t="shared" si="7"/>
        <v>0.28051306071934645</v>
      </c>
      <c r="G17" s="183"/>
      <c r="L17" s="185">
        <f t="shared" si="12"/>
        <v>99108.558740839362</v>
      </c>
      <c r="M17" s="186">
        <f>$I$3*$H$4*C17*$K$3/10^6</f>
        <v>495542.79370419681</v>
      </c>
      <c r="N17" s="187">
        <f t="shared" si="9"/>
        <v>991085.58740839362</v>
      </c>
      <c r="O17" s="183">
        <f t="shared" si="10"/>
        <v>1982171.1748167872</v>
      </c>
      <c r="R17" s="188">
        <f t="shared" si="0"/>
        <v>5210.7675719509507</v>
      </c>
      <c r="S17" s="187">
        <f>$G$3*B17*$B$36*$J$3*$H$4*$K$3/$B$35/$B$34/1000/1000</f>
        <v>26053.837859754753</v>
      </c>
      <c r="T17" s="187">
        <f t="shared" si="1"/>
        <v>52107.675719509505</v>
      </c>
      <c r="U17" s="189">
        <f t="shared" si="2"/>
        <v>104215.35143901901</v>
      </c>
      <c r="W17" s="187">
        <f>ROUNDUP('output H2 PROVA'!$K$3/'polarization curve'!S17,0)</f>
        <v>13</v>
      </c>
      <c r="X17" s="186">
        <f>W17*M17/1000</f>
        <v>6442.0563181545585</v>
      </c>
      <c r="Y17" s="186">
        <f>$K$3*$H$4*C17/1000/1000</f>
        <v>56.568812066689134</v>
      </c>
      <c r="Z17" s="186">
        <f>Y17*W17/1000</f>
        <v>0.73539455686695876</v>
      </c>
      <c r="AA17" s="186">
        <f>'costo electrolyser'!$B$3*((W17*S17/365/24/3600)^0.79)/((B17/1000)^0.32)/10^6</f>
        <v>33.206342778156554</v>
      </c>
      <c r="AB17" s="184">
        <f>S17*W17</f>
        <v>338699.89217681176</v>
      </c>
      <c r="AC17" s="357" t="s">
        <v>169</v>
      </c>
      <c r="AD17" s="358"/>
      <c r="AE17" s="358"/>
      <c r="AF17" s="358"/>
      <c r="AG17" s="358"/>
      <c r="AH17" s="359"/>
    </row>
    <row r="18" spans="1:34" ht="14.7" thickBot="1" x14ac:dyDescent="0.6">
      <c r="A18" s="102">
        <v>0.61655459933810763</v>
      </c>
      <c r="B18" s="103">
        <v>179.99649047851563</v>
      </c>
      <c r="C18" s="102">
        <f t="shared" si="6"/>
        <v>110.9776640692467</v>
      </c>
      <c r="D18" s="103"/>
      <c r="E18" s="96"/>
      <c r="F18" s="102">
        <f t="shared" si="7"/>
        <v>0.27115152355640038</v>
      </c>
      <c r="G18" s="104"/>
      <c r="L18" s="106">
        <f t="shared" si="12"/>
        <v>116659.72046959214</v>
      </c>
      <c r="M18" s="107">
        <f t="shared" si="8"/>
        <v>583298.6023479607</v>
      </c>
      <c r="N18" s="80">
        <f t="shared" si="9"/>
        <v>1166597.2046959214</v>
      </c>
      <c r="O18" s="104">
        <f t="shared" si="10"/>
        <v>2333194.4093918428</v>
      </c>
      <c r="R18" s="100">
        <f t="shared" si="0"/>
        <v>5859.629835140744</v>
      </c>
      <c r="S18" s="101">
        <f t="shared" si="11"/>
        <v>29298.149175703718</v>
      </c>
      <c r="T18" s="80">
        <f t="shared" si="1"/>
        <v>58596.298351407437</v>
      </c>
      <c r="U18" s="98">
        <f t="shared" si="2"/>
        <v>117192.59670281487</v>
      </c>
      <c r="W18" s="80">
        <f>ROUNDUP('output H2 PROVA'!$K$3/'polarization curve'!S18,0)</f>
        <v>12</v>
      </c>
      <c r="X18" s="81">
        <f t="shared" si="3"/>
        <v>6999.5832281755283</v>
      </c>
      <c r="Y18" s="81">
        <f t="shared" si="4"/>
        <v>66.58659844154802</v>
      </c>
      <c r="Z18" s="81">
        <f t="shared" si="5"/>
        <v>0.79903918129857632</v>
      </c>
      <c r="AA18" s="81">
        <f>'costo electrolyser'!$B$3*((W18*S18/365/24/3600)^0.79)/((B18/1000)^0.32)/10^6</f>
        <v>32.939285029007053</v>
      </c>
    </row>
    <row r="19" spans="1:34" ht="14.7" thickBot="1" x14ac:dyDescent="0.6">
      <c r="A19" s="102">
        <v>0.64320339626736112</v>
      </c>
      <c r="B19" s="103">
        <v>200.06179809570313</v>
      </c>
      <c r="C19" s="102">
        <f t="shared" si="6"/>
        <v>128.68042799851133</v>
      </c>
      <c r="D19" s="103"/>
      <c r="E19" s="96"/>
      <c r="F19" s="102">
        <f t="shared" si="7"/>
        <v>0.26266746443202232</v>
      </c>
      <c r="G19" s="104"/>
      <c r="L19" s="106">
        <f t="shared" si="12"/>
        <v>135268.86591203511</v>
      </c>
      <c r="M19" s="107">
        <f t="shared" si="8"/>
        <v>676344.32956017554</v>
      </c>
      <c r="N19" s="80">
        <f t="shared" si="9"/>
        <v>1352688.6591203511</v>
      </c>
      <c r="O19" s="104">
        <f t="shared" si="10"/>
        <v>2705377.3182407022</v>
      </c>
      <c r="R19" s="100">
        <f t="shared" si="0"/>
        <v>6512.8385441126702</v>
      </c>
      <c r="S19" s="101">
        <f t="shared" si="11"/>
        <v>32564.192720563347</v>
      </c>
      <c r="T19" s="80">
        <f t="shared" si="1"/>
        <v>65128.385441126695</v>
      </c>
      <c r="U19" s="98">
        <f t="shared" si="2"/>
        <v>130256.77088225339</v>
      </c>
      <c r="W19" s="80">
        <f>ROUNDUP('output H2 PROVA'!$K$3/'polarization curve'!S19,0)</f>
        <v>11</v>
      </c>
      <c r="X19" s="81">
        <f t="shared" si="3"/>
        <v>7439.7876251619309</v>
      </c>
      <c r="Y19" s="81">
        <f t="shared" si="4"/>
        <v>77.208256799106806</v>
      </c>
      <c r="Z19" s="81">
        <f t="shared" si="5"/>
        <v>0.84929082479017481</v>
      </c>
      <c r="AA19" s="81">
        <f>'costo electrolyser'!$B$3*((W19*S19/365/24/3600)^0.79)/((B19/1000)^0.32)/10^6</f>
        <v>32.317240218640713</v>
      </c>
      <c r="AC19" s="72" t="s">
        <v>417</v>
      </c>
    </row>
    <row r="20" spans="1:34" ht="14.7" thickBot="1" x14ac:dyDescent="0.6">
      <c r="A20" s="102">
        <v>0.66843990749782989</v>
      </c>
      <c r="B20" s="103">
        <v>220.08895874023438</v>
      </c>
      <c r="C20" s="102">
        <f t="shared" si="6"/>
        <v>147.11624322161597</v>
      </c>
      <c r="D20" s="103"/>
      <c r="E20" s="96"/>
      <c r="F20" s="102">
        <f t="shared" si="7"/>
        <v>0.25510839901447413</v>
      </c>
      <c r="G20" s="104"/>
      <c r="L20" s="106">
        <f t="shared" si="12"/>
        <v>154648.59487456272</v>
      </c>
      <c r="M20" s="107">
        <f t="shared" si="8"/>
        <v>773242.97437281359</v>
      </c>
      <c r="N20" s="80">
        <f t="shared" si="9"/>
        <v>1546485.9487456272</v>
      </c>
      <c r="O20" s="104">
        <f t="shared" si="10"/>
        <v>3092971.8974912544</v>
      </c>
      <c r="R20" s="100">
        <f t="shared" si="0"/>
        <v>7164.8054114325569</v>
      </c>
      <c r="S20" s="101">
        <f t="shared" si="11"/>
        <v>35824.027057162792</v>
      </c>
      <c r="T20" s="80">
        <f t="shared" si="1"/>
        <v>71648.054114325583</v>
      </c>
      <c r="U20" s="98">
        <f t="shared" si="2"/>
        <v>143296.10822865117</v>
      </c>
      <c r="W20" s="80">
        <f>ROUNDUP('output H2 PROVA'!$K$3/'polarization curve'!S20,0)</f>
        <v>10</v>
      </c>
      <c r="X20" s="81">
        <f t="shared" si="3"/>
        <v>7732.4297437281357</v>
      </c>
      <c r="Y20" s="81">
        <f t="shared" si="4"/>
        <v>88.269745932969585</v>
      </c>
      <c r="Z20" s="81">
        <f t="shared" si="5"/>
        <v>0.8826974593296959</v>
      </c>
      <c r="AA20" s="81">
        <f>'costo electrolyser'!$B$3*((W20*S20/365/24/3600)^0.79)/((B20/1000)^0.32)/10^6</f>
        <v>31.347872122859645</v>
      </c>
      <c r="AC20" s="72">
        <f>AB17-'output H2 PROVA'!K3</f>
        <v>1613.892176811758</v>
      </c>
    </row>
    <row r="21" spans="1:34" ht="14.7" thickBot="1" x14ac:dyDescent="0.6">
      <c r="A21" s="102">
        <v>0.69475470648871529</v>
      </c>
      <c r="B21" s="103">
        <v>240.12449052598743</v>
      </c>
      <c r="C21" s="102">
        <f t="shared" si="6"/>
        <v>166.82761993613468</v>
      </c>
      <c r="D21" s="103"/>
      <c r="E21" s="96"/>
      <c r="F21" s="102">
        <f t="shared" si="7"/>
        <v>0.24767620817689681</v>
      </c>
      <c r="G21" s="104"/>
      <c r="L21" s="106">
        <f t="shared" si="12"/>
        <v>175369.19407686478</v>
      </c>
      <c r="M21" s="107">
        <f t="shared" si="8"/>
        <v>876845.97038432397</v>
      </c>
      <c r="N21" s="80">
        <f t="shared" si="9"/>
        <v>1753691.9407686479</v>
      </c>
      <c r="O21" s="104">
        <f t="shared" si="10"/>
        <v>3507383.8815372959</v>
      </c>
      <c r="R21" s="100">
        <f t="shared" si="0"/>
        <v>7817.0447940038648</v>
      </c>
      <c r="S21" s="101">
        <f t="shared" si="11"/>
        <v>39085.223970019324</v>
      </c>
      <c r="T21" s="80">
        <f t="shared" si="1"/>
        <v>78170.447940038648</v>
      </c>
      <c r="U21" s="98">
        <f t="shared" si="2"/>
        <v>156340.8958800773</v>
      </c>
      <c r="W21" s="80">
        <f>ROUNDUP('output H2 PROVA'!$K$3/'polarization curve'!S21,0)</f>
        <v>9</v>
      </c>
      <c r="X21" s="81">
        <f t="shared" si="3"/>
        <v>7891.6137334589157</v>
      </c>
      <c r="Y21" s="81">
        <f t="shared" si="4"/>
        <v>100.09657196168082</v>
      </c>
      <c r="Z21" s="81">
        <f t="shared" si="5"/>
        <v>0.90086914765512749</v>
      </c>
      <c r="AA21" s="81">
        <f>'costo electrolyser'!$B$3*((W21*S21/365/24/3600)^0.79)/((B21/1000)^0.32)/10^6</f>
        <v>30.04993958981261</v>
      </c>
    </row>
    <row r="22" spans="1:34" ht="14.7" thickBot="1" x14ac:dyDescent="0.6">
      <c r="A22" s="102">
        <v>0.72130974663628478</v>
      </c>
      <c r="B22" s="103">
        <v>260.067621866862</v>
      </c>
      <c r="C22" s="102">
        <f t="shared" si="6"/>
        <v>187.58931043708733</v>
      </c>
      <c r="D22" s="108"/>
      <c r="E22" s="109"/>
      <c r="F22" s="102">
        <f t="shared" si="7"/>
        <v>0.24060262662547935</v>
      </c>
      <c r="G22" s="77"/>
      <c r="L22" s="110">
        <f t="shared" si="12"/>
        <v>197193.88313146619</v>
      </c>
      <c r="M22" s="111">
        <f t="shared" si="8"/>
        <v>985969.41565733089</v>
      </c>
      <c r="N22" s="99">
        <f t="shared" si="9"/>
        <v>1971938.8313146618</v>
      </c>
      <c r="O22" s="77">
        <f t="shared" si="10"/>
        <v>3943877.6626293235</v>
      </c>
      <c r="R22" s="100">
        <f t="shared" si="0"/>
        <v>8466.276160129124</v>
      </c>
      <c r="S22" s="101">
        <f t="shared" si="11"/>
        <v>42331.380800645617</v>
      </c>
      <c r="T22" s="80">
        <f t="shared" si="1"/>
        <v>84662.761601291233</v>
      </c>
      <c r="U22" s="98">
        <f t="shared" si="2"/>
        <v>169325.52320258247</v>
      </c>
      <c r="W22" s="80">
        <f>ROUNDUP('output H2 PROVA'!$K$3/'polarization curve'!S22,0)</f>
        <v>8</v>
      </c>
      <c r="X22" s="81">
        <f t="shared" si="3"/>
        <v>7887.7553252586467</v>
      </c>
      <c r="Y22" s="81">
        <f t="shared" si="4"/>
        <v>112.5535862622524</v>
      </c>
      <c r="Z22" s="81">
        <f t="shared" si="5"/>
        <v>0.90042869009801918</v>
      </c>
      <c r="AA22" s="81">
        <f>'costo electrolyser'!$B$3*((W22*S22/365/24/3600)^0.79)/((B22/1000)^0.32)/10^6</f>
        <v>28.426181889280951</v>
      </c>
    </row>
    <row r="23" spans="1:34" ht="14.7" thickBot="1" x14ac:dyDescent="0.6">
      <c r="A23" s="102">
        <v>0.74652150472005208</v>
      </c>
      <c r="B23" s="103">
        <v>280.09425269232855</v>
      </c>
      <c r="C23" s="102">
        <f>A23*B23</f>
        <v>209.09638298331561</v>
      </c>
      <c r="D23" s="112"/>
      <c r="E23" s="112"/>
      <c r="F23" s="102">
        <f t="shared" si="7"/>
        <v>0.2342508898374186</v>
      </c>
      <c r="L23" s="100">
        <f>$I$3*$H$3*C23*$K$3/10^6</f>
        <v>219802.11779206138</v>
      </c>
      <c r="M23" s="101">
        <f>$I$3*$H$4*C23*$K$3/10^6</f>
        <v>1099010.588960307</v>
      </c>
      <c r="N23" s="80">
        <f>$I$3*$H$5*C23*$K$3/10^6</f>
        <v>2198021.1779206139</v>
      </c>
      <c r="O23" s="98">
        <f>$I$3*$H$6*C23*$K$3/10^6</f>
        <v>4396042.3558412278</v>
      </c>
      <c r="R23" s="100">
        <f t="shared" si="0"/>
        <v>9118.2257796482918</v>
      </c>
      <c r="S23" s="101">
        <f t="shared" si="11"/>
        <v>45591.128898241448</v>
      </c>
      <c r="T23" s="80">
        <f t="shared" si="1"/>
        <v>91182.257796482896</v>
      </c>
      <c r="U23" s="98">
        <f t="shared" si="2"/>
        <v>182364.51559296579</v>
      </c>
      <c r="W23" s="80">
        <f>ROUNDUP('output H2 PROVA'!$K$3/'polarization curve'!S23,0)</f>
        <v>8</v>
      </c>
      <c r="X23" s="81">
        <f t="shared" si="3"/>
        <v>8792.0847116824552</v>
      </c>
      <c r="Y23" s="81">
        <f t="shared" si="4"/>
        <v>125.45782978998936</v>
      </c>
      <c r="Z23" s="81">
        <f t="shared" si="5"/>
        <v>1.003662638319915</v>
      </c>
      <c r="AA23" s="81">
        <f>'costo electrolyser'!$B$3*((W23*S23/365/24/3600)^0.79)/((B23/1000)^0.32)/10^6</f>
        <v>29.434790483647816</v>
      </c>
    </row>
    <row r="24" spans="1:34" ht="14.7" thickBot="1" x14ac:dyDescent="0.6">
      <c r="A24" s="102">
        <v>0.77398342556423616</v>
      </c>
      <c r="B24" s="103">
        <v>300.14016893174914</v>
      </c>
      <c r="C24" s="102">
        <f t="shared" si="6"/>
        <v>232.30351609922374</v>
      </c>
      <c r="D24" s="112"/>
      <c r="E24" s="112"/>
      <c r="F24" s="102">
        <f t="shared" si="7"/>
        <v>0.2277031861704133</v>
      </c>
      <c r="L24" s="106">
        <f>$I$3*$H$3*C24*$K$3/10^6</f>
        <v>244197.456123504</v>
      </c>
      <c r="M24" s="107">
        <f t="shared" si="8"/>
        <v>1220987.28061752</v>
      </c>
      <c r="N24" s="80">
        <f t="shared" si="9"/>
        <v>2441974.56123504</v>
      </c>
      <c r="O24" s="104">
        <f t="shared" si="10"/>
        <v>4883949.1224700799</v>
      </c>
      <c r="R24" s="100">
        <f t="shared" si="0"/>
        <v>9770.8032191137609</v>
      </c>
      <c r="S24" s="101">
        <f t="shared" si="11"/>
        <v>48854.016095568819</v>
      </c>
      <c r="T24" s="80">
        <f t="shared" si="1"/>
        <v>97708.032191137638</v>
      </c>
      <c r="U24" s="98">
        <f t="shared" si="2"/>
        <v>195416.06438227528</v>
      </c>
      <c r="W24" s="80">
        <f>ROUNDUP('output H2 PROVA'!$K$3/'polarization curve'!S24,0)</f>
        <v>7</v>
      </c>
      <c r="X24" s="81">
        <f t="shared" si="3"/>
        <v>8546.9109643226402</v>
      </c>
      <c r="Y24" s="81">
        <f t="shared" si="4"/>
        <v>139.38210965953425</v>
      </c>
      <c r="Z24" s="81">
        <f t="shared" si="5"/>
        <v>0.97567476761673966</v>
      </c>
      <c r="AA24" s="81">
        <f>'costo electrolyser'!$B$3*((W24*S24/365/24/3600)^0.79)/((B24/1000)^0.32)/10^6</f>
        <v>27.3625567649866</v>
      </c>
    </row>
    <row r="25" spans="1:34" ht="14.7" thickBot="1" x14ac:dyDescent="0.6">
      <c r="A25" s="102">
        <v>0.80022515190972221</v>
      </c>
      <c r="B25" s="103">
        <v>320.24383544921875</v>
      </c>
      <c r="C25" s="102">
        <f t="shared" si="6"/>
        <v>256.26717187050315</v>
      </c>
      <c r="D25" s="112"/>
      <c r="E25" s="112"/>
      <c r="F25" s="102">
        <f t="shared" si="7"/>
        <v>0.22177951838646029</v>
      </c>
      <c r="I25" s="72">
        <v>0.83</v>
      </c>
      <c r="L25" s="106">
        <f t="shared" ref="L25:L29" si="13">$I$3*$H$3*C25*$K$3/10^6</f>
        <v>269388.05107027292</v>
      </c>
      <c r="M25" s="107">
        <f t="shared" si="8"/>
        <v>1346940.2553513646</v>
      </c>
      <c r="N25" s="80">
        <f t="shared" si="9"/>
        <v>2693880.5107027292</v>
      </c>
      <c r="O25" s="104">
        <f t="shared" si="10"/>
        <v>5387761.0214054585</v>
      </c>
      <c r="R25" s="100">
        <f t="shared" si="0"/>
        <v>10425.260668858016</v>
      </c>
      <c r="S25" s="101">
        <f t="shared" si="11"/>
        <v>52126.303344290078</v>
      </c>
      <c r="T25" s="80">
        <f t="shared" si="1"/>
        <v>104252.60668858016</v>
      </c>
      <c r="U25" s="98">
        <f t="shared" si="2"/>
        <v>208505.21337716031</v>
      </c>
      <c r="W25" s="80">
        <f>ROUNDUP('output H2 PROVA'!$K$3/'polarization curve'!S25,0)</f>
        <v>7</v>
      </c>
      <c r="X25" s="81">
        <f t="shared" si="3"/>
        <v>9428.5817874595523</v>
      </c>
      <c r="Y25" s="81">
        <f t="shared" si="4"/>
        <v>153.76030312230188</v>
      </c>
      <c r="Z25" s="81">
        <f t="shared" si="5"/>
        <v>1.0763221218561132</v>
      </c>
      <c r="AA25" s="81">
        <f>'costo electrolyser'!$B$3*((W25*S25/365/24/3600)^0.79)/((B25/1000)^0.32)/10^6</f>
        <v>28.209169722890543</v>
      </c>
    </row>
    <row r="26" spans="1:34" ht="14.7" thickBot="1" x14ac:dyDescent="0.6">
      <c r="A26" s="102">
        <v>0.82632276746961808</v>
      </c>
      <c r="B26" s="103">
        <v>340.27099609375</v>
      </c>
      <c r="C26" s="102">
        <f t="shared" si="6"/>
        <v>281.17367118183108</v>
      </c>
      <c r="D26" s="112"/>
      <c r="E26" s="112"/>
      <c r="F26" s="102">
        <f t="shared" si="7"/>
        <v>0.21618634512411883</v>
      </c>
      <c r="L26" s="106">
        <f t="shared" si="13"/>
        <v>295569.76314634085</v>
      </c>
      <c r="M26" s="107">
        <f t="shared" si="8"/>
        <v>1477848.815731704</v>
      </c>
      <c r="N26" s="80">
        <f t="shared" si="9"/>
        <v>2955697.631463408</v>
      </c>
      <c r="O26" s="104">
        <f t="shared" si="10"/>
        <v>5911395.262926816</v>
      </c>
      <c r="R26" s="100">
        <f t="shared" si="0"/>
        <v>11077.227536177903</v>
      </c>
      <c r="S26" s="101">
        <f t="shared" si="11"/>
        <v>55386.137680889515</v>
      </c>
      <c r="T26" s="80">
        <f t="shared" si="1"/>
        <v>110772.27536177903</v>
      </c>
      <c r="U26" s="98">
        <f t="shared" si="2"/>
        <v>221544.55072355806</v>
      </c>
      <c r="W26" s="80">
        <f>ROUNDUP('output H2 PROVA'!$K$3/'polarization curve'!S26,0)</f>
        <v>7</v>
      </c>
      <c r="X26" s="81">
        <f t="shared" si="3"/>
        <v>10344.941710121928</v>
      </c>
      <c r="Y26" s="81">
        <f t="shared" si="4"/>
        <v>168.70420270909864</v>
      </c>
      <c r="Z26" s="81">
        <f t="shared" si="5"/>
        <v>1.1809294189636905</v>
      </c>
      <c r="AA26" s="81">
        <f>'costo electrolyser'!$B$3*((W26*S26/365/24/3600)^0.79)/((B26/1000)^0.32)/10^6</f>
        <v>29.024988486723707</v>
      </c>
    </row>
    <row r="27" spans="1:34" ht="14.7" thickBot="1" x14ac:dyDescent="0.6">
      <c r="A27" s="102">
        <v>0.85240512424045134</v>
      </c>
      <c r="B27" s="103">
        <v>360.29815673828125</v>
      </c>
      <c r="C27" s="102">
        <f t="shared" si="6"/>
        <v>307.11999505810024</v>
      </c>
      <c r="D27" s="112"/>
      <c r="E27" s="112"/>
      <c r="F27" s="102">
        <f t="shared" si="7"/>
        <v>0.21087137928629307</v>
      </c>
      <c r="L27" s="106">
        <f t="shared" si="13"/>
        <v>322844.53880507493</v>
      </c>
      <c r="M27" s="107">
        <f t="shared" si="8"/>
        <v>1614222.6940253749</v>
      </c>
      <c r="N27" s="80">
        <f t="shared" si="9"/>
        <v>3228445.3880507499</v>
      </c>
      <c r="O27" s="104">
        <f t="shared" si="10"/>
        <v>6456890.7761014998</v>
      </c>
      <c r="R27" s="100">
        <f t="shared" si="0"/>
        <v>11729.194403497793</v>
      </c>
      <c r="S27" s="101">
        <f t="shared" si="11"/>
        <v>58645.972017488966</v>
      </c>
      <c r="T27" s="80">
        <f t="shared" si="1"/>
        <v>117291.94403497793</v>
      </c>
      <c r="U27" s="98">
        <f t="shared" si="2"/>
        <v>234583.88806995586</v>
      </c>
      <c r="W27" s="80">
        <f>ROUNDUP('output H2 PROVA'!$K$3/'polarization curve'!S27,0)</f>
        <v>6</v>
      </c>
      <c r="X27" s="81">
        <f t="shared" si="3"/>
        <v>9685.3361641522497</v>
      </c>
      <c r="Y27" s="81">
        <f t="shared" si="4"/>
        <v>184.27199703486014</v>
      </c>
      <c r="Z27" s="81">
        <f t="shared" si="5"/>
        <v>1.1056319822091609</v>
      </c>
      <c r="AA27" s="81">
        <f>'costo electrolyser'!$B$3*((W27*S27/365/24/3600)^0.79)/((B27/1000)^0.32)/10^6</f>
        <v>26.397179950840965</v>
      </c>
    </row>
    <row r="28" spans="1:34" ht="14.7" thickBot="1" x14ac:dyDescent="0.6">
      <c r="A28" s="102">
        <v>0.87719048394097221</v>
      </c>
      <c r="B28" s="103">
        <v>380.3253173828125</v>
      </c>
      <c r="C28" s="102">
        <f t="shared" si="6"/>
        <v>333.61774921003314</v>
      </c>
      <c r="D28" s="112"/>
      <c r="E28" s="112"/>
      <c r="F28" s="102">
        <f t="shared" si="7"/>
        <v>0.20605735005158568</v>
      </c>
      <c r="L28" s="106">
        <f t="shared" si="13"/>
        <v>350698.97796958679</v>
      </c>
      <c r="M28" s="107">
        <f t="shared" si="8"/>
        <v>1753494.889847934</v>
      </c>
      <c r="N28" s="80">
        <f t="shared" si="9"/>
        <v>3506989.779695868</v>
      </c>
      <c r="O28" s="104">
        <f t="shared" si="10"/>
        <v>7013979.5593917361</v>
      </c>
      <c r="R28" s="100">
        <f t="shared" si="0"/>
        <v>12381.161270817678</v>
      </c>
      <c r="S28" s="101">
        <f t="shared" si="11"/>
        <v>61905.806354088396</v>
      </c>
      <c r="T28" s="80">
        <f t="shared" si="1"/>
        <v>123811.61270817679</v>
      </c>
      <c r="U28" s="98">
        <f t="shared" si="2"/>
        <v>247623.22541635358</v>
      </c>
      <c r="W28" s="80">
        <f>ROUNDUP('output H2 PROVA'!$K$3/'polarization curve'!S28,0)</f>
        <v>6</v>
      </c>
      <c r="X28" s="81">
        <f t="shared" si="3"/>
        <v>10520.969339087604</v>
      </c>
      <c r="Y28" s="81">
        <f t="shared" si="4"/>
        <v>200.17064952601987</v>
      </c>
      <c r="Z28" s="81">
        <f t="shared" si="5"/>
        <v>1.2010238971561193</v>
      </c>
      <c r="AA28" s="81">
        <f>'costo electrolyser'!$B$3*((W28*S28/365/24/3600)^0.79)/((B28/1000)^0.32)/10^6</f>
        <v>27.076924573888931</v>
      </c>
    </row>
    <row r="29" spans="1:34" ht="14.7" thickBot="1" x14ac:dyDescent="0.6">
      <c r="A29" s="113">
        <v>0.90391370985243058</v>
      </c>
      <c r="B29" s="108">
        <v>400.35247802734375</v>
      </c>
      <c r="C29" s="113">
        <f t="shared" si="6"/>
        <v>361.88409366230997</v>
      </c>
      <c r="D29" s="112"/>
      <c r="E29" s="112"/>
      <c r="F29" s="113">
        <f t="shared" si="7"/>
        <v>0.20110726677453908</v>
      </c>
      <c r="L29" s="106">
        <f t="shared" si="13"/>
        <v>380412.55925782019</v>
      </c>
      <c r="M29" s="107">
        <f t="shared" si="8"/>
        <v>1902062.7962891012</v>
      </c>
      <c r="N29" s="80">
        <f t="shared" si="9"/>
        <v>3804125.5925782025</v>
      </c>
      <c r="O29" s="104">
        <f t="shared" si="10"/>
        <v>7608251.185156405</v>
      </c>
      <c r="R29" s="100">
        <f t="shared" si="0"/>
        <v>13033.128138137567</v>
      </c>
      <c r="S29" s="101">
        <f t="shared" si="11"/>
        <v>65165.640690687833</v>
      </c>
      <c r="T29" s="80">
        <f t="shared" si="1"/>
        <v>130331.28138137567</v>
      </c>
      <c r="U29" s="98">
        <f t="shared" si="2"/>
        <v>260662.56276275133</v>
      </c>
      <c r="W29" s="80">
        <f>ROUNDUP('output H2 PROVA'!$K$3/'polarization curve'!S29,0)</f>
        <v>6</v>
      </c>
      <c r="X29" s="82">
        <f t="shared" si="3"/>
        <v>11412.376777734607</v>
      </c>
      <c r="Y29" s="82">
        <f t="shared" si="4"/>
        <v>217.13045619738597</v>
      </c>
      <c r="Z29" s="82">
        <f t="shared" si="5"/>
        <v>1.3027827371843159</v>
      </c>
      <c r="AA29" s="82">
        <f>'costo electrolyser'!$B$3*((W29*S29/365/24/3600)^0.79)/((B29/1000)^0.32)/10^6</f>
        <v>27.737949870781833</v>
      </c>
    </row>
    <row r="32" spans="1:34" ht="14.7" thickBot="1" x14ac:dyDescent="0.6">
      <c r="A32" s="72" t="s">
        <v>416</v>
      </c>
      <c r="B32" s="72">
        <v>6</v>
      </c>
    </row>
    <row r="33" spans="1:22" ht="14.7" thickBot="1" x14ac:dyDescent="0.6">
      <c r="A33" s="315" t="s">
        <v>196</v>
      </c>
      <c r="B33" s="316"/>
    </row>
    <row r="34" spans="1:22" x14ac:dyDescent="0.55000000000000004">
      <c r="A34" s="80" t="s">
        <v>68</v>
      </c>
      <c r="B34" s="104">
        <v>2</v>
      </c>
      <c r="C34" s="72" t="s">
        <v>260</v>
      </c>
      <c r="E34" s="72">
        <v>0.753</v>
      </c>
      <c r="F34" s="72">
        <v>0.65</v>
      </c>
      <c r="V34" s="72">
        <f>'output H2 PROVA'!$K$3/'polarization curve'!S17</f>
        <v>12.938055491651587</v>
      </c>
    </row>
    <row r="35" spans="1:22" x14ac:dyDescent="0.55000000000000004">
      <c r="A35" s="81" t="s">
        <v>70</v>
      </c>
      <c r="B35" s="104">
        <v>96485</v>
      </c>
      <c r="V35" s="160"/>
    </row>
    <row r="36" spans="1:22" ht="14.7" thickBot="1" x14ac:dyDescent="0.6">
      <c r="A36" s="82" t="s">
        <v>72</v>
      </c>
      <c r="B36" s="77">
        <v>2</v>
      </c>
    </row>
    <row r="37" spans="1:22" x14ac:dyDescent="0.55000000000000004">
      <c r="A37" s="72" t="s">
        <v>74</v>
      </c>
      <c r="B37" s="72">
        <f>120*10^6</f>
        <v>120000000</v>
      </c>
    </row>
    <row r="38" spans="1:22" ht="14.7" thickBot="1" x14ac:dyDescent="0.6"/>
    <row r="39" spans="1:22" ht="14.7" thickBot="1" x14ac:dyDescent="0.6">
      <c r="A39" s="354" t="s">
        <v>164</v>
      </c>
      <c r="B39" s="355"/>
      <c r="C39" s="355"/>
      <c r="D39" s="355"/>
      <c r="E39" s="356"/>
    </row>
    <row r="40" spans="1:22" ht="14.7" thickBot="1" x14ac:dyDescent="0.6">
      <c r="A40" s="110" t="s">
        <v>165</v>
      </c>
      <c r="B40" s="114" t="s">
        <v>166</v>
      </c>
      <c r="C40" s="77" t="s">
        <v>167</v>
      </c>
    </row>
    <row r="41" spans="1:22" x14ac:dyDescent="0.55000000000000004">
      <c r="A41" s="83">
        <v>343.15</v>
      </c>
      <c r="B41" s="72">
        <v>129.51</v>
      </c>
      <c r="C41" s="72">
        <v>-8.81</v>
      </c>
    </row>
    <row r="44" spans="1:22" ht="14.7" thickBot="1" x14ac:dyDescent="0.6"/>
    <row r="45" spans="1:22" ht="14.7" thickBot="1" x14ac:dyDescent="0.6">
      <c r="F45" s="87" t="s">
        <v>52</v>
      </c>
      <c r="G45" s="87" t="s">
        <v>53</v>
      </c>
      <c r="H45" s="87" t="s">
        <v>54</v>
      </c>
      <c r="I45" s="87" t="s">
        <v>178</v>
      </c>
    </row>
    <row r="46" spans="1:22" x14ac:dyDescent="0.55000000000000004">
      <c r="F46" s="205">
        <f>A3</f>
        <v>0.293210686577691</v>
      </c>
      <c r="G46" s="94">
        <f>B3</f>
        <v>4.9247847663031656</v>
      </c>
      <c r="H46" s="94">
        <f>F46*G46</f>
        <v>1.4439995225751048</v>
      </c>
      <c r="I46" s="95">
        <f>F3</f>
        <v>0.4459056647995871</v>
      </c>
    </row>
    <row r="47" spans="1:22" ht="14.7" customHeight="1" x14ac:dyDescent="0.55000000000000004">
      <c r="F47" s="96">
        <f t="shared" ref="F47:F72" si="14">A4</f>
        <v>0.32137552897135419</v>
      </c>
      <c r="G47" s="102">
        <f t="shared" ref="G47:G72" si="15">B4</f>
        <v>9.9809964497884138</v>
      </c>
      <c r="H47" s="102">
        <f t="shared" ref="H47:H72" si="16">F47*G47</f>
        <v>3.2076480137119598</v>
      </c>
      <c r="I47" s="103">
        <f t="shared" ref="I47:I72" si="17">F4</f>
        <v>0.42220391965138404</v>
      </c>
    </row>
    <row r="48" spans="1:22" x14ac:dyDescent="0.55000000000000004">
      <c r="F48" s="96">
        <f t="shared" si="14"/>
        <v>0.3390131632486979</v>
      </c>
      <c r="G48" s="102">
        <f t="shared" si="15"/>
        <v>14.939795600043405</v>
      </c>
      <c r="H48" s="102">
        <f t="shared" si="16"/>
        <v>5.0647873646596935</v>
      </c>
      <c r="I48" s="103">
        <f t="shared" si="17"/>
        <v>0.40860289033962666</v>
      </c>
    </row>
    <row r="49" spans="6:23" x14ac:dyDescent="0.55000000000000004">
      <c r="F49" s="96">
        <f t="shared" si="14"/>
        <v>0.35459628634982637</v>
      </c>
      <c r="G49" s="102">
        <f t="shared" si="15"/>
        <v>19.995456271701389</v>
      </c>
      <c r="H49" s="102">
        <f t="shared" si="16"/>
        <v>7.0903145378156571</v>
      </c>
      <c r="I49" s="103">
        <f t="shared" si="17"/>
        <v>0.39729512163937458</v>
      </c>
    </row>
    <row r="50" spans="6:23" x14ac:dyDescent="0.55000000000000004">
      <c r="F50" s="96">
        <f t="shared" si="14"/>
        <v>0.37881961398654512</v>
      </c>
      <c r="G50" s="102">
        <f t="shared" si="15"/>
        <v>30.014239417182079</v>
      </c>
      <c r="H50" s="102">
        <f t="shared" si="16"/>
        <v>11.369982590116662</v>
      </c>
      <c r="I50" s="103">
        <f t="shared" si="17"/>
        <v>0.38090900565541325</v>
      </c>
    </row>
    <row r="51" spans="6:23" x14ac:dyDescent="0.55000000000000004">
      <c r="F51" s="96">
        <f t="shared" si="14"/>
        <v>0.39989742702907988</v>
      </c>
      <c r="G51" s="102">
        <f t="shared" si="15"/>
        <v>39.942211574978302</v>
      </c>
      <c r="H51" s="102">
        <f t="shared" si="16"/>
        <v>15.972787638684956</v>
      </c>
      <c r="I51" s="103">
        <f t="shared" si="17"/>
        <v>0.36771238318990235</v>
      </c>
    </row>
    <row r="52" spans="6:23" x14ac:dyDescent="0.55000000000000004">
      <c r="F52" s="96">
        <f t="shared" si="14"/>
        <v>0.41940867106119789</v>
      </c>
      <c r="G52" s="102">
        <f t="shared" si="15"/>
        <v>49.972428215874565</v>
      </c>
      <c r="H52" s="102">
        <f t="shared" si="16"/>
        <v>20.95886970772106</v>
      </c>
      <c r="I52" s="103">
        <f t="shared" si="17"/>
        <v>0.35628623102100443</v>
      </c>
    </row>
    <row r="53" spans="6:23" x14ac:dyDescent="0.55000000000000004">
      <c r="F53" s="96">
        <f t="shared" si="14"/>
        <v>0.43752916124131946</v>
      </c>
      <c r="G53" s="102">
        <f t="shared" si="15"/>
        <v>59.986114501953125</v>
      </c>
      <c r="H53" s="102">
        <f t="shared" si="16"/>
        <v>26.2456743641653</v>
      </c>
      <c r="I53" s="103">
        <f t="shared" si="17"/>
        <v>0.34629267538702002</v>
      </c>
    </row>
    <row r="54" spans="6:23" x14ac:dyDescent="0.55000000000000004">
      <c r="F54" s="96">
        <f t="shared" si="14"/>
        <v>0.45596279568142362</v>
      </c>
      <c r="G54" s="102">
        <f t="shared" si="15"/>
        <v>69.99969482421875</v>
      </c>
      <c r="H54" s="102">
        <f t="shared" si="16"/>
        <v>31.91725654889726</v>
      </c>
      <c r="I54" s="103">
        <f t="shared" si="17"/>
        <v>0.33668569962251543</v>
      </c>
    </row>
    <row r="55" spans="6:23" x14ac:dyDescent="0.55000000000000004">
      <c r="F55" s="96">
        <f t="shared" si="14"/>
        <v>0.47300703260633681</v>
      </c>
      <c r="G55" s="102">
        <f t="shared" si="15"/>
        <v>80.013275146484375</v>
      </c>
      <c r="H55" s="102">
        <f t="shared" si="16"/>
        <v>37.846841846152934</v>
      </c>
      <c r="I55" s="103">
        <f t="shared" si="17"/>
        <v>0.32826525736654599</v>
      </c>
    </row>
    <row r="56" spans="6:23" x14ac:dyDescent="0.55000000000000004">
      <c r="F56" s="96">
        <f t="shared" si="14"/>
        <v>0.48929782443576386</v>
      </c>
      <c r="G56" s="102">
        <f t="shared" si="15"/>
        <v>90.028762817382813</v>
      </c>
      <c r="H56" s="102">
        <f t="shared" si="16"/>
        <v>44.050877783188803</v>
      </c>
      <c r="I56" s="103">
        <f t="shared" si="17"/>
        <v>0.32060152298412553</v>
      </c>
    </row>
    <row r="57" spans="6:23" x14ac:dyDescent="0.55000000000000004">
      <c r="F57" s="96">
        <f t="shared" si="14"/>
        <v>0.50479058159722223</v>
      </c>
      <c r="G57" s="102">
        <f t="shared" si="15"/>
        <v>100.0428729587131</v>
      </c>
      <c r="H57" s="102">
        <f t="shared" si="16"/>
        <v>50.500700025485806</v>
      </c>
      <c r="I57" s="103">
        <f t="shared" si="17"/>
        <v>0.31363797325011683</v>
      </c>
    </row>
    <row r="58" spans="6:23" x14ac:dyDescent="0.55000000000000004">
      <c r="F58" s="96">
        <f t="shared" si="14"/>
        <v>0.53359476725260413</v>
      </c>
      <c r="G58" s="102">
        <f t="shared" si="15"/>
        <v>119.99130249023438</v>
      </c>
      <c r="H58" s="102">
        <f t="shared" si="16"/>
        <v>64.026731124613434</v>
      </c>
      <c r="I58" s="103">
        <f t="shared" si="17"/>
        <v>0.30146413195277733</v>
      </c>
    </row>
    <row r="59" spans="6:23" ht="14.7" thickBot="1" x14ac:dyDescent="0.6">
      <c r="F59" s="96">
        <f t="shared" si="14"/>
        <v>0.56194017198350699</v>
      </c>
      <c r="G59" s="102">
        <f t="shared" si="15"/>
        <v>140.01846313476563</v>
      </c>
      <c r="H59" s="102">
        <f t="shared" si="16"/>
        <v>78.681999254816532</v>
      </c>
      <c r="I59" s="103">
        <f t="shared" si="17"/>
        <v>0.29037284213893533</v>
      </c>
    </row>
    <row r="60" spans="6:23" ht="14.7" thickBot="1" x14ac:dyDescent="0.6">
      <c r="F60" s="96">
        <f t="shared" si="14"/>
        <v>0.58902028401692708</v>
      </c>
      <c r="G60" s="102">
        <f t="shared" si="15"/>
        <v>160.064697265625</v>
      </c>
      <c r="H60" s="180">
        <f t="shared" si="16"/>
        <v>94.281353444481894</v>
      </c>
      <c r="I60" s="103">
        <f t="shared" si="17"/>
        <v>0.28051306071934645</v>
      </c>
      <c r="S60" s="206"/>
      <c r="T60" s="206"/>
      <c r="U60" s="206"/>
      <c r="V60" s="206"/>
      <c r="W60" s="206"/>
    </row>
    <row r="61" spans="6:23" x14ac:dyDescent="0.55000000000000004">
      <c r="F61" s="96">
        <f t="shared" si="14"/>
        <v>0.61655459933810763</v>
      </c>
      <c r="G61" s="102">
        <f t="shared" si="15"/>
        <v>179.99649047851563</v>
      </c>
      <c r="H61" s="102">
        <f t="shared" si="16"/>
        <v>110.9776640692467</v>
      </c>
      <c r="I61" s="103">
        <f t="shared" si="17"/>
        <v>0.27115152355640038</v>
      </c>
      <c r="S61" s="207"/>
      <c r="T61" s="207"/>
      <c r="U61" s="207"/>
      <c r="V61" s="207"/>
      <c r="W61" s="45"/>
    </row>
    <row r="62" spans="6:23" x14ac:dyDescent="0.55000000000000004">
      <c r="F62" s="96">
        <f t="shared" si="14"/>
        <v>0.64320339626736112</v>
      </c>
      <c r="G62" s="102">
        <f t="shared" si="15"/>
        <v>200.06179809570313</v>
      </c>
      <c r="H62" s="102">
        <f t="shared" si="16"/>
        <v>128.68042799851133</v>
      </c>
      <c r="I62" s="103">
        <f t="shared" si="17"/>
        <v>0.26266746443202232</v>
      </c>
      <c r="S62" s="45"/>
      <c r="T62" s="45"/>
      <c r="U62" s="45"/>
      <c r="V62" s="45"/>
      <c r="W62" s="45"/>
    </row>
    <row r="63" spans="6:23" x14ac:dyDescent="0.55000000000000004">
      <c r="F63" s="96">
        <f t="shared" si="14"/>
        <v>0.66843990749782989</v>
      </c>
      <c r="G63" s="102">
        <f t="shared" si="15"/>
        <v>220.08895874023438</v>
      </c>
      <c r="H63" s="102">
        <f t="shared" si="16"/>
        <v>147.11624322161597</v>
      </c>
      <c r="I63" s="103">
        <f t="shared" si="17"/>
        <v>0.25510839901447413</v>
      </c>
    </row>
    <row r="64" spans="6:23" x14ac:dyDescent="0.55000000000000004">
      <c r="F64" s="96">
        <f t="shared" si="14"/>
        <v>0.69475470648871529</v>
      </c>
      <c r="G64" s="102">
        <f t="shared" si="15"/>
        <v>240.12449052598743</v>
      </c>
      <c r="H64" s="102">
        <f t="shared" si="16"/>
        <v>166.82761993613468</v>
      </c>
      <c r="I64" s="103">
        <f t="shared" si="17"/>
        <v>0.24767620817689681</v>
      </c>
    </row>
    <row r="65" spans="6:37" x14ac:dyDescent="0.55000000000000004">
      <c r="F65" s="96">
        <f t="shared" si="14"/>
        <v>0.72130974663628478</v>
      </c>
      <c r="G65" s="102">
        <f t="shared" si="15"/>
        <v>260.067621866862</v>
      </c>
      <c r="H65" s="102">
        <f t="shared" si="16"/>
        <v>187.58931043708733</v>
      </c>
      <c r="I65" s="103">
        <f t="shared" si="17"/>
        <v>0.24060262662547935</v>
      </c>
    </row>
    <row r="66" spans="6:37" x14ac:dyDescent="0.55000000000000004">
      <c r="F66" s="96">
        <f t="shared" si="14"/>
        <v>0.74652150472005208</v>
      </c>
      <c r="G66" s="102">
        <f t="shared" si="15"/>
        <v>280.09425269232855</v>
      </c>
      <c r="H66" s="102">
        <f>F66*G66</f>
        <v>209.09638298331561</v>
      </c>
      <c r="I66" s="103">
        <f t="shared" si="17"/>
        <v>0.2342508898374186</v>
      </c>
    </row>
    <row r="67" spans="6:37" x14ac:dyDescent="0.55000000000000004">
      <c r="F67" s="96">
        <f t="shared" si="14"/>
        <v>0.77398342556423616</v>
      </c>
      <c r="G67" s="102">
        <f t="shared" si="15"/>
        <v>300.14016893174914</v>
      </c>
      <c r="H67" s="102">
        <f t="shared" si="16"/>
        <v>232.30351609922374</v>
      </c>
      <c r="I67" s="103">
        <f t="shared" si="17"/>
        <v>0.2277031861704133</v>
      </c>
    </row>
    <row r="68" spans="6:37" x14ac:dyDescent="0.55000000000000004">
      <c r="F68" s="96">
        <f t="shared" si="14"/>
        <v>0.80022515190972221</v>
      </c>
      <c r="G68" s="102">
        <f t="shared" si="15"/>
        <v>320.24383544921875</v>
      </c>
      <c r="H68" s="102">
        <f t="shared" si="16"/>
        <v>256.26717187050315</v>
      </c>
      <c r="I68" s="103">
        <f t="shared" si="17"/>
        <v>0.22177951838646029</v>
      </c>
    </row>
    <row r="69" spans="6:37" x14ac:dyDescent="0.55000000000000004">
      <c r="F69" s="96">
        <f t="shared" si="14"/>
        <v>0.82632276746961808</v>
      </c>
      <c r="G69" s="102">
        <f t="shared" si="15"/>
        <v>340.27099609375</v>
      </c>
      <c r="H69" s="102">
        <f t="shared" si="16"/>
        <v>281.17367118183108</v>
      </c>
      <c r="I69" s="103">
        <f t="shared" si="17"/>
        <v>0.21618634512411883</v>
      </c>
    </row>
    <row r="70" spans="6:37" x14ac:dyDescent="0.55000000000000004">
      <c r="F70" s="96">
        <f t="shared" si="14"/>
        <v>0.85240512424045134</v>
      </c>
      <c r="G70" s="102">
        <f t="shared" si="15"/>
        <v>360.29815673828125</v>
      </c>
      <c r="H70" s="102">
        <f t="shared" si="16"/>
        <v>307.11999505810024</v>
      </c>
      <c r="I70" s="103">
        <f t="shared" si="17"/>
        <v>0.21087137928629307</v>
      </c>
    </row>
    <row r="71" spans="6:37" x14ac:dyDescent="0.55000000000000004">
      <c r="F71" s="96">
        <f t="shared" si="14"/>
        <v>0.87719048394097221</v>
      </c>
      <c r="G71" s="102">
        <f t="shared" si="15"/>
        <v>380.3253173828125</v>
      </c>
      <c r="H71" s="102">
        <f t="shared" si="16"/>
        <v>333.61774921003314</v>
      </c>
      <c r="I71" s="103">
        <f t="shared" si="17"/>
        <v>0.20605735005158568</v>
      </c>
    </row>
    <row r="72" spans="6:37" ht="14.7" thickBot="1" x14ac:dyDescent="0.6">
      <c r="F72" s="109">
        <f t="shared" si="14"/>
        <v>0.90391370985243058</v>
      </c>
      <c r="G72" s="113">
        <f t="shared" si="15"/>
        <v>400.35247802734375</v>
      </c>
      <c r="H72" s="113">
        <f t="shared" si="16"/>
        <v>361.88409366230997</v>
      </c>
      <c r="I72" s="108">
        <f t="shared" si="17"/>
        <v>0.20110726677453908</v>
      </c>
    </row>
    <row r="73" spans="6:37" ht="44.1" thickBot="1" x14ac:dyDescent="0.6">
      <c r="L73" s="208"/>
      <c r="M73" s="99"/>
      <c r="N73" s="209"/>
      <c r="O73" s="99"/>
      <c r="P73" s="99"/>
      <c r="Q73" s="99"/>
      <c r="R73" s="99"/>
      <c r="S73" s="99"/>
      <c r="T73" s="99"/>
      <c r="Y73" s="253" t="s">
        <v>396</v>
      </c>
      <c r="Z73" s="253" t="s">
        <v>373</v>
      </c>
      <c r="AA73" s="345" t="s">
        <v>391</v>
      </c>
      <c r="AB73" s="345"/>
      <c r="AC73" s="253" t="s">
        <v>379</v>
      </c>
      <c r="AD73" s="253" t="s">
        <v>383</v>
      </c>
      <c r="AE73" s="253" t="s">
        <v>386</v>
      </c>
      <c r="AF73" s="345" t="s">
        <v>395</v>
      </c>
      <c r="AG73" s="345"/>
      <c r="AH73" s="253" t="s">
        <v>389</v>
      </c>
      <c r="AI73" s="345" t="s">
        <v>394</v>
      </c>
      <c r="AJ73" s="345"/>
      <c r="AK73" s="254" t="s">
        <v>393</v>
      </c>
    </row>
    <row r="74" spans="6:37" ht="28.5" thickBot="1" x14ac:dyDescent="0.6">
      <c r="L74" s="237" t="s">
        <v>373</v>
      </c>
      <c r="M74" s="245">
        <v>90</v>
      </c>
      <c r="N74" s="238" t="s">
        <v>374</v>
      </c>
      <c r="O74" s="245">
        <v>25</v>
      </c>
      <c r="P74" s="238" t="s">
        <v>375</v>
      </c>
      <c r="Q74" s="245" t="s">
        <v>376</v>
      </c>
      <c r="R74" s="238" t="s">
        <v>377</v>
      </c>
      <c r="S74" s="245">
        <v>30</v>
      </c>
      <c r="T74" s="239">
        <v>70</v>
      </c>
      <c r="Y74" s="106"/>
      <c r="Z74" s="245">
        <v>90</v>
      </c>
      <c r="AA74" s="346" t="s">
        <v>378</v>
      </c>
      <c r="AB74" s="346"/>
      <c r="AC74" s="236">
        <v>1</v>
      </c>
      <c r="AD74" s="245" t="s">
        <v>384</v>
      </c>
      <c r="AE74" s="236" t="s">
        <v>387</v>
      </c>
      <c r="AF74" s="346">
        <v>1.5</v>
      </c>
      <c r="AG74" s="346"/>
      <c r="AH74" s="236" t="s">
        <v>390</v>
      </c>
      <c r="AI74" s="346">
        <v>2.5</v>
      </c>
      <c r="AJ74" s="346"/>
      <c r="AK74" s="256">
        <v>6.25</v>
      </c>
    </row>
    <row r="75" spans="6:37" ht="24.6" customHeight="1" thickBot="1" x14ac:dyDescent="0.6">
      <c r="L75" s="352" t="s">
        <v>391</v>
      </c>
      <c r="M75" s="346" t="s">
        <v>378</v>
      </c>
      <c r="N75" s="347" t="s">
        <v>378</v>
      </c>
      <c r="O75" s="346" t="s">
        <v>378</v>
      </c>
      <c r="P75" s="347" t="s">
        <v>378</v>
      </c>
      <c r="Q75" s="346" t="s">
        <v>378</v>
      </c>
      <c r="R75" s="347">
        <v>20</v>
      </c>
      <c r="S75" s="346" t="s">
        <v>378</v>
      </c>
      <c r="T75" s="350">
        <v>6</v>
      </c>
      <c r="Y75" s="208"/>
      <c r="Z75" s="249" t="s">
        <v>374</v>
      </c>
      <c r="AA75" s="339" t="s">
        <v>378</v>
      </c>
      <c r="AB75" s="340"/>
      <c r="AC75" s="250">
        <v>4</v>
      </c>
      <c r="AD75" s="249" t="s">
        <v>384</v>
      </c>
      <c r="AE75" s="250" t="s">
        <v>387</v>
      </c>
      <c r="AF75" s="339">
        <v>0.5</v>
      </c>
      <c r="AG75" s="340"/>
      <c r="AH75" s="250" t="s">
        <v>390</v>
      </c>
      <c r="AI75" s="339">
        <v>3</v>
      </c>
      <c r="AJ75" s="340"/>
      <c r="AK75" s="255">
        <v>25</v>
      </c>
    </row>
    <row r="76" spans="6:37" ht="28.5" thickBot="1" x14ac:dyDescent="0.6">
      <c r="L76" s="353"/>
      <c r="M76" s="349"/>
      <c r="N76" s="348"/>
      <c r="O76" s="349"/>
      <c r="P76" s="348"/>
      <c r="Q76" s="349"/>
      <c r="R76" s="348"/>
      <c r="S76" s="349"/>
      <c r="T76" s="351"/>
      <c r="Y76" s="208"/>
      <c r="Z76" s="249">
        <v>25</v>
      </c>
      <c r="AA76" s="344" t="s">
        <v>378</v>
      </c>
      <c r="AB76" s="344"/>
      <c r="AC76" s="250" t="s">
        <v>380</v>
      </c>
      <c r="AD76" s="249" t="s">
        <v>384</v>
      </c>
      <c r="AE76" s="250" t="s">
        <v>387</v>
      </c>
      <c r="AF76" s="344">
        <v>2</v>
      </c>
      <c r="AG76" s="344"/>
      <c r="AH76" s="250" t="s">
        <v>390</v>
      </c>
      <c r="AI76" s="344">
        <v>4</v>
      </c>
      <c r="AJ76" s="344"/>
      <c r="AK76" s="255">
        <v>16</v>
      </c>
    </row>
    <row r="77" spans="6:37" ht="28.5" thickBot="1" x14ac:dyDescent="0.6">
      <c r="L77" s="240" t="s">
        <v>379</v>
      </c>
      <c r="M77" s="246">
        <v>1</v>
      </c>
      <c r="N77" s="236">
        <v>4</v>
      </c>
      <c r="O77" s="246" t="s">
        <v>380</v>
      </c>
      <c r="P77" s="236">
        <v>1</v>
      </c>
      <c r="Q77" s="246" t="s">
        <v>381</v>
      </c>
      <c r="R77" s="236">
        <v>1</v>
      </c>
      <c r="S77" s="246" t="s">
        <v>382</v>
      </c>
      <c r="T77" s="241">
        <v>1</v>
      </c>
      <c r="Y77" s="208"/>
      <c r="Z77" s="249" t="s">
        <v>375</v>
      </c>
      <c r="AA77" s="339" t="s">
        <v>378</v>
      </c>
      <c r="AB77" s="340"/>
      <c r="AC77" s="250">
        <v>1</v>
      </c>
      <c r="AD77" s="249" t="s">
        <v>385</v>
      </c>
      <c r="AE77" s="250" t="s">
        <v>388</v>
      </c>
      <c r="AF77" s="339">
        <v>3</v>
      </c>
      <c r="AG77" s="340"/>
      <c r="AH77" s="250" t="s">
        <v>390</v>
      </c>
      <c r="AI77" s="339">
        <v>3</v>
      </c>
      <c r="AJ77" s="340"/>
      <c r="AK77" s="255">
        <v>9</v>
      </c>
    </row>
    <row r="78" spans="6:37" ht="28.5" thickBot="1" x14ac:dyDescent="0.6">
      <c r="L78" s="248" t="s">
        <v>383</v>
      </c>
      <c r="M78" s="249" t="s">
        <v>384</v>
      </c>
      <c r="N78" s="250" t="s">
        <v>384</v>
      </c>
      <c r="O78" s="249" t="s">
        <v>384</v>
      </c>
      <c r="P78" s="250" t="s">
        <v>385</v>
      </c>
      <c r="Q78" s="249" t="s">
        <v>384</v>
      </c>
      <c r="R78" s="250" t="s">
        <v>385</v>
      </c>
      <c r="S78" s="249" t="s">
        <v>385</v>
      </c>
      <c r="T78" s="251" t="s">
        <v>384</v>
      </c>
      <c r="Y78" s="106"/>
      <c r="Z78" s="246" t="s">
        <v>376</v>
      </c>
      <c r="AA78" s="341" t="s">
        <v>378</v>
      </c>
      <c r="AB78" s="341"/>
      <c r="AC78" s="236" t="s">
        <v>381</v>
      </c>
      <c r="AD78" s="246" t="s">
        <v>384</v>
      </c>
      <c r="AE78" s="236" t="s">
        <v>387</v>
      </c>
      <c r="AF78" s="341">
        <v>2</v>
      </c>
      <c r="AG78" s="341"/>
      <c r="AH78" s="236" t="s">
        <v>390</v>
      </c>
      <c r="AI78" s="341">
        <v>4</v>
      </c>
      <c r="AJ78" s="341"/>
      <c r="AK78" s="256">
        <v>5</v>
      </c>
    </row>
    <row r="79" spans="6:37" ht="28.5" thickBot="1" x14ac:dyDescent="0.6">
      <c r="L79" s="240" t="s">
        <v>386</v>
      </c>
      <c r="M79" s="246" t="s">
        <v>387</v>
      </c>
      <c r="N79" s="236" t="s">
        <v>387</v>
      </c>
      <c r="O79" s="246" t="s">
        <v>387</v>
      </c>
      <c r="P79" s="236" t="s">
        <v>388</v>
      </c>
      <c r="Q79" s="246" t="s">
        <v>387</v>
      </c>
      <c r="R79" s="236" t="s">
        <v>387</v>
      </c>
      <c r="S79" s="246" t="s">
        <v>387</v>
      </c>
      <c r="T79" s="241" t="s">
        <v>387</v>
      </c>
      <c r="Y79" s="208"/>
      <c r="Z79" s="249" t="s">
        <v>377</v>
      </c>
      <c r="AA79" s="339">
        <v>20</v>
      </c>
      <c r="AB79" s="340"/>
      <c r="AC79" s="250">
        <v>1</v>
      </c>
      <c r="AD79" s="249" t="s">
        <v>385</v>
      </c>
      <c r="AE79" s="250" t="s">
        <v>387</v>
      </c>
      <c r="AF79" s="339">
        <v>2</v>
      </c>
      <c r="AG79" s="340"/>
      <c r="AH79" s="250" t="s">
        <v>387</v>
      </c>
      <c r="AI79" s="339">
        <v>2</v>
      </c>
      <c r="AJ79" s="340"/>
      <c r="AK79" s="255">
        <v>6.25</v>
      </c>
    </row>
    <row r="80" spans="6:37" ht="28.5" thickBot="1" x14ac:dyDescent="0.6">
      <c r="L80" s="352" t="s">
        <v>395</v>
      </c>
      <c r="M80" s="346">
        <v>1.5</v>
      </c>
      <c r="N80" s="347">
        <v>0.5</v>
      </c>
      <c r="O80" s="346">
        <v>2</v>
      </c>
      <c r="P80" s="347">
        <v>3</v>
      </c>
      <c r="Q80" s="346">
        <v>2</v>
      </c>
      <c r="R80" s="347">
        <v>2</v>
      </c>
      <c r="S80" s="346">
        <v>0.5</v>
      </c>
      <c r="T80" s="350">
        <v>1</v>
      </c>
      <c r="Y80" s="106"/>
      <c r="Z80" s="246">
        <v>30</v>
      </c>
      <c r="AA80" s="341" t="s">
        <v>378</v>
      </c>
      <c r="AB80" s="341"/>
      <c r="AC80" s="236" t="s">
        <v>382</v>
      </c>
      <c r="AD80" s="246" t="s">
        <v>385</v>
      </c>
      <c r="AE80" s="236" t="s">
        <v>387</v>
      </c>
      <c r="AF80" s="341">
        <v>0.5</v>
      </c>
      <c r="AG80" s="341"/>
      <c r="AH80" s="236" t="s">
        <v>392</v>
      </c>
      <c r="AI80" s="341">
        <v>2</v>
      </c>
      <c r="AJ80" s="341"/>
      <c r="AK80" s="256">
        <v>6.25</v>
      </c>
    </row>
    <row r="81" spans="12:37" ht="27.9" thickBot="1" x14ac:dyDescent="0.6">
      <c r="L81" s="353"/>
      <c r="M81" s="349"/>
      <c r="N81" s="348"/>
      <c r="O81" s="349"/>
      <c r="P81" s="348"/>
      <c r="Q81" s="349"/>
      <c r="R81" s="348"/>
      <c r="S81" s="349"/>
      <c r="T81" s="351"/>
      <c r="Y81" s="208"/>
      <c r="Z81" s="252">
        <v>70</v>
      </c>
      <c r="AA81" s="342">
        <v>6</v>
      </c>
      <c r="AB81" s="343"/>
      <c r="AC81" s="257">
        <v>1</v>
      </c>
      <c r="AD81" s="252" t="s">
        <v>384</v>
      </c>
      <c r="AE81" s="257" t="s">
        <v>387</v>
      </c>
      <c r="AF81" s="342">
        <v>1</v>
      </c>
      <c r="AG81" s="343"/>
      <c r="AH81" s="257" t="s">
        <v>390</v>
      </c>
      <c r="AI81" s="342">
        <v>3</v>
      </c>
      <c r="AJ81" s="343"/>
      <c r="AK81" s="251">
        <v>16</v>
      </c>
    </row>
    <row r="82" spans="12:37" ht="16.8" thickBot="1" x14ac:dyDescent="0.6">
      <c r="L82" s="240" t="s">
        <v>389</v>
      </c>
      <c r="M82" s="246" t="s">
        <v>390</v>
      </c>
      <c r="N82" s="236" t="s">
        <v>390</v>
      </c>
      <c r="O82" s="246" t="s">
        <v>390</v>
      </c>
      <c r="P82" s="236" t="s">
        <v>390</v>
      </c>
      <c r="Q82" s="246" t="s">
        <v>390</v>
      </c>
      <c r="R82" s="236" t="s">
        <v>387</v>
      </c>
      <c r="S82" s="246" t="s">
        <v>392</v>
      </c>
      <c r="T82" s="241" t="s">
        <v>390</v>
      </c>
    </row>
    <row r="83" spans="12:37" x14ac:dyDescent="0.55000000000000004">
      <c r="L83" s="352" t="s">
        <v>394</v>
      </c>
      <c r="M83" s="346">
        <v>2.5</v>
      </c>
      <c r="N83" s="347">
        <v>3</v>
      </c>
      <c r="O83" s="346">
        <v>4</v>
      </c>
      <c r="P83" s="347">
        <v>3</v>
      </c>
      <c r="Q83" s="346">
        <v>4</v>
      </c>
      <c r="R83" s="347">
        <v>2</v>
      </c>
      <c r="S83" s="346">
        <v>2</v>
      </c>
      <c r="T83" s="350">
        <v>3</v>
      </c>
    </row>
    <row r="84" spans="12:37" ht="14.7" thickBot="1" x14ac:dyDescent="0.6">
      <c r="L84" s="353"/>
      <c r="M84" s="349"/>
      <c r="N84" s="348"/>
      <c r="O84" s="349"/>
      <c r="P84" s="348"/>
      <c r="Q84" s="349"/>
      <c r="R84" s="348"/>
      <c r="S84" s="349"/>
      <c r="T84" s="351"/>
    </row>
    <row r="85" spans="12:37" ht="16.5" thickBot="1" x14ac:dyDescent="0.6">
      <c r="L85" s="242" t="s">
        <v>393</v>
      </c>
      <c r="M85" s="247">
        <v>6.25</v>
      </c>
      <c r="N85" s="243">
        <v>25</v>
      </c>
      <c r="O85" s="247">
        <v>16</v>
      </c>
      <c r="P85" s="243">
        <v>9</v>
      </c>
      <c r="Q85" s="247">
        <v>5</v>
      </c>
      <c r="R85" s="243">
        <v>6.25</v>
      </c>
      <c r="S85" s="247">
        <v>6.25</v>
      </c>
      <c r="T85" s="244">
        <v>16</v>
      </c>
      <c r="Y85" s="264" t="s">
        <v>397</v>
      </c>
      <c r="Z85" s="265" t="s">
        <v>398</v>
      </c>
      <c r="AA85" s="266" t="s">
        <v>383</v>
      </c>
      <c r="AB85" s="264" t="s">
        <v>399</v>
      </c>
    </row>
    <row r="86" spans="12:37" x14ac:dyDescent="0.55000000000000004">
      <c r="Y86" s="258" t="s">
        <v>405</v>
      </c>
      <c r="Z86" s="259" t="s">
        <v>406</v>
      </c>
      <c r="AA86" s="260" t="s">
        <v>401</v>
      </c>
      <c r="AB86" s="259" t="s">
        <v>407</v>
      </c>
    </row>
    <row r="87" spans="12:37" x14ac:dyDescent="0.55000000000000004">
      <c r="Y87" s="258" t="s">
        <v>390</v>
      </c>
      <c r="Z87" s="259" t="s">
        <v>400</v>
      </c>
      <c r="AA87" s="260" t="s">
        <v>401</v>
      </c>
      <c r="AB87" s="259" t="s">
        <v>402</v>
      </c>
    </row>
    <row r="88" spans="12:37" x14ac:dyDescent="0.55000000000000004">
      <c r="Y88" s="258" t="s">
        <v>390</v>
      </c>
      <c r="Z88" s="259" t="s">
        <v>400</v>
      </c>
      <c r="AA88" s="260" t="s">
        <v>401</v>
      </c>
      <c r="AB88" s="259" t="s">
        <v>403</v>
      </c>
    </row>
    <row r="89" spans="12:37" x14ac:dyDescent="0.55000000000000004">
      <c r="Y89" s="258" t="s">
        <v>390</v>
      </c>
      <c r="Z89" s="259" t="s">
        <v>400</v>
      </c>
      <c r="AA89" s="260" t="s">
        <v>401</v>
      </c>
      <c r="AB89" s="259" t="s">
        <v>404</v>
      </c>
    </row>
    <row r="90" spans="12:37" x14ac:dyDescent="0.55000000000000004">
      <c r="Y90" s="258" t="s">
        <v>408</v>
      </c>
      <c r="Z90" s="259" t="s">
        <v>409</v>
      </c>
      <c r="AA90" s="260" t="s">
        <v>410</v>
      </c>
      <c r="AB90" s="259" t="s">
        <v>411</v>
      </c>
    </row>
    <row r="91" spans="12:37" x14ac:dyDescent="0.55000000000000004">
      <c r="Y91" s="258" t="s">
        <v>412</v>
      </c>
      <c r="Z91" s="259" t="s">
        <v>413</v>
      </c>
      <c r="AA91" s="260" t="s">
        <v>401</v>
      </c>
      <c r="AB91" s="259" t="s">
        <v>414</v>
      </c>
    </row>
    <row r="92" spans="12:37" ht="14.7" thickBot="1" x14ac:dyDescent="0.6">
      <c r="Y92" s="261" t="s">
        <v>390</v>
      </c>
      <c r="Z92" s="262" t="s">
        <v>400</v>
      </c>
      <c r="AA92" s="263" t="s">
        <v>401</v>
      </c>
      <c r="AB92" s="262" t="s">
        <v>415</v>
      </c>
    </row>
    <row r="95" spans="12:37" x14ac:dyDescent="0.55000000000000004">
      <c r="Y95" s="258" t="s">
        <v>405</v>
      </c>
      <c r="Z95" s="259" t="s">
        <v>406</v>
      </c>
      <c r="AA95" s="260" t="s">
        <v>401</v>
      </c>
      <c r="AB95" s="259" t="s">
        <v>407</v>
      </c>
    </row>
  </sheetData>
  <mergeCells count="60">
    <mergeCell ref="A39:E39"/>
    <mergeCell ref="AC17:AH17"/>
    <mergeCell ref="A1:H1"/>
    <mergeCell ref="L1:O1"/>
    <mergeCell ref="R1:U1"/>
    <mergeCell ref="A33:B33"/>
    <mergeCell ref="Q80:Q81"/>
    <mergeCell ref="R80:R81"/>
    <mergeCell ref="S80:S81"/>
    <mergeCell ref="T80:T81"/>
    <mergeCell ref="M75:M76"/>
    <mergeCell ref="N75:N76"/>
    <mergeCell ref="O75:O76"/>
    <mergeCell ref="P75:P76"/>
    <mergeCell ref="Q75:Q76"/>
    <mergeCell ref="R75:R76"/>
    <mergeCell ref="S75:S76"/>
    <mergeCell ref="R83:R84"/>
    <mergeCell ref="S83:S84"/>
    <mergeCell ref="T83:T84"/>
    <mergeCell ref="L75:L76"/>
    <mergeCell ref="L83:L84"/>
    <mergeCell ref="L80:L81"/>
    <mergeCell ref="M83:M84"/>
    <mergeCell ref="N83:N84"/>
    <mergeCell ref="O83:O84"/>
    <mergeCell ref="P83:P84"/>
    <mergeCell ref="Q83:Q84"/>
    <mergeCell ref="T75:T76"/>
    <mergeCell ref="M80:M81"/>
    <mergeCell ref="N80:N81"/>
    <mergeCell ref="O80:O81"/>
    <mergeCell ref="P80:P81"/>
    <mergeCell ref="AI73:AJ73"/>
    <mergeCell ref="AA74:AB74"/>
    <mergeCell ref="AF74:AG74"/>
    <mergeCell ref="AI74:AJ74"/>
    <mergeCell ref="AA75:AB75"/>
    <mergeCell ref="AF75:AG75"/>
    <mergeCell ref="AI75:AJ75"/>
    <mergeCell ref="AA73:AB73"/>
    <mergeCell ref="AF73:AG73"/>
    <mergeCell ref="AI76:AJ76"/>
    <mergeCell ref="AA77:AB77"/>
    <mergeCell ref="AF77:AG77"/>
    <mergeCell ref="AI77:AJ77"/>
    <mergeCell ref="AA78:AB78"/>
    <mergeCell ref="AF78:AG78"/>
    <mergeCell ref="AI78:AJ78"/>
    <mergeCell ref="AA76:AB76"/>
    <mergeCell ref="AF76:AG76"/>
    <mergeCell ref="AI79:AJ79"/>
    <mergeCell ref="AA80:AB80"/>
    <mergeCell ref="AF80:AG80"/>
    <mergeCell ref="AI80:AJ80"/>
    <mergeCell ref="AA81:AB81"/>
    <mergeCell ref="AF81:AG81"/>
    <mergeCell ref="AI81:AJ81"/>
    <mergeCell ref="AA79:AB79"/>
    <mergeCell ref="AF79:AG79"/>
  </mergeCells>
  <pageMargins left="0.7" right="0.7" top="0.75" bottom="0.75" header="0.3" footer="0.3"/>
  <pageSetup paperSize="9" orientation="portrait"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13842-FA34-477C-8D78-55C13F795389}">
  <dimension ref="A1:C11"/>
  <sheetViews>
    <sheetView workbookViewId="0">
      <selection activeCell="B5" sqref="B5"/>
    </sheetView>
  </sheetViews>
  <sheetFormatPr defaultRowHeight="14.4" x14ac:dyDescent="0.55000000000000004"/>
  <cols>
    <col min="1" max="1" width="27" bestFit="1" customWidth="1"/>
    <col min="2" max="2" width="11.68359375" bestFit="1" customWidth="1"/>
    <col min="3" max="3" width="9.578125" customWidth="1"/>
    <col min="7" max="7" width="24.83984375" customWidth="1"/>
    <col min="8" max="8" width="15.41796875" bestFit="1" customWidth="1"/>
    <col min="9" max="9" width="11.68359375" bestFit="1" customWidth="1"/>
  </cols>
  <sheetData>
    <row r="1" spans="1:3" x14ac:dyDescent="0.55000000000000004">
      <c r="A1" s="363" t="s">
        <v>156</v>
      </c>
      <c r="B1" s="363"/>
      <c r="C1" s="363"/>
    </row>
    <row r="2" spans="1:3" x14ac:dyDescent="0.55000000000000004">
      <c r="A2" s="363"/>
      <c r="B2" s="363"/>
      <c r="C2" s="363"/>
    </row>
    <row r="3" spans="1:3" ht="26.1" x14ac:dyDescent="0.55000000000000004">
      <c r="A3" s="73" t="s">
        <v>157</v>
      </c>
      <c r="B3">
        <f>663894313</f>
        <v>663894313</v>
      </c>
    </row>
    <row r="5" spans="1:3" x14ac:dyDescent="0.55000000000000004">
      <c r="A5" t="s">
        <v>158</v>
      </c>
      <c r="B5">
        <f>B3*(('polarization curve'!S17/24/365/3600*'polarization curve'!W17)^0.79)/(('polarization curve'!B17/1000)^0.32)</f>
        <v>33206342.778156556</v>
      </c>
      <c r="C5">
        <f>B3*('polarization curve'!S17/24/365/3600*'polarization curve'!W17)^0.79/('polarization curve'!B17/1000)^0.32</f>
        <v>33206342.778156556</v>
      </c>
    </row>
    <row r="6" spans="1:3" x14ac:dyDescent="0.55000000000000004">
      <c r="A6" s="42"/>
      <c r="B6" s="42"/>
    </row>
    <row r="7" spans="1:3" x14ac:dyDescent="0.55000000000000004">
      <c r="A7" s="42"/>
      <c r="B7" s="42"/>
    </row>
    <row r="8" spans="1:3" x14ac:dyDescent="0.55000000000000004">
      <c r="A8" s="42"/>
    </row>
    <row r="9" spans="1:3" x14ac:dyDescent="0.55000000000000004">
      <c r="A9" s="42" t="s">
        <v>281</v>
      </c>
      <c r="B9">
        <f>('polarization curve'!S17/24/365/3600*'polarization curve'!W17)</f>
        <v>1.0740103125850197E-2</v>
      </c>
    </row>
    <row r="10" spans="1:3" x14ac:dyDescent="0.55000000000000004">
      <c r="A10" s="42"/>
    </row>
    <row r="11" spans="1:3" x14ac:dyDescent="0.55000000000000004">
      <c r="A11" s="42"/>
    </row>
  </sheetData>
  <mergeCells count="1">
    <mergeCell ref="A1:C2"/>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DE7A5-9274-4800-A224-42962808E4CD}">
  <dimension ref="A1:AB92"/>
  <sheetViews>
    <sheetView zoomScale="60" zoomScaleNormal="60" workbookViewId="0">
      <selection activeCell="G23" sqref="G23"/>
    </sheetView>
  </sheetViews>
  <sheetFormatPr defaultRowHeight="14.4" x14ac:dyDescent="0.55000000000000004"/>
  <cols>
    <col min="1" max="1" width="28.15625" bestFit="1" customWidth="1"/>
    <col min="2" max="2" width="11.20703125" bestFit="1" customWidth="1"/>
    <col min="7" max="7" width="15.83984375" bestFit="1" customWidth="1"/>
    <col min="8" max="8" width="5.7890625" bestFit="1" customWidth="1"/>
    <col min="9" max="9" width="21.5234375" bestFit="1" customWidth="1"/>
    <col min="10" max="10" width="11.68359375" bestFit="1" customWidth="1"/>
    <col min="11" max="11" width="21" bestFit="1" customWidth="1"/>
    <col min="12" max="12" width="19.83984375" bestFit="1" customWidth="1"/>
    <col min="13" max="13" width="22.62890625" bestFit="1" customWidth="1"/>
    <col min="14" max="14" width="34.68359375" bestFit="1" customWidth="1"/>
    <col min="15" max="15" width="11.20703125" customWidth="1"/>
    <col min="16" max="16" width="25.68359375" bestFit="1" customWidth="1"/>
    <col min="17" max="17" width="17" bestFit="1" customWidth="1"/>
    <col min="18" max="24" width="17" customWidth="1"/>
    <col min="25" max="25" width="28.83984375" bestFit="1" customWidth="1"/>
    <col min="26" max="26" width="28.9453125" bestFit="1" customWidth="1"/>
    <col min="28" max="28" width="11.578125" bestFit="1" customWidth="1"/>
  </cols>
  <sheetData>
    <row r="1" spans="1:28" s="92" customFormat="1" ht="14.7" thickBot="1" x14ac:dyDescent="0.6">
      <c r="A1" s="127" t="s">
        <v>188</v>
      </c>
      <c r="G1" s="87" t="s">
        <v>77</v>
      </c>
      <c r="H1" s="87" t="s">
        <v>78</v>
      </c>
      <c r="I1" s="127" t="s">
        <v>258</v>
      </c>
      <c r="J1" s="127" t="s">
        <v>79</v>
      </c>
      <c r="K1" s="87" t="s">
        <v>259</v>
      </c>
      <c r="L1" s="87" t="s">
        <v>81</v>
      </c>
      <c r="M1" s="87" t="s">
        <v>82</v>
      </c>
      <c r="N1" s="127" t="s">
        <v>83</v>
      </c>
      <c r="O1" s="87" t="s">
        <v>84</v>
      </c>
      <c r="P1" s="87" t="s">
        <v>85</v>
      </c>
      <c r="Q1" s="87" t="s">
        <v>86</v>
      </c>
      <c r="R1" s="150" t="s">
        <v>94</v>
      </c>
      <c r="S1" s="92" t="s">
        <v>261</v>
      </c>
      <c r="T1" s="92" t="s">
        <v>299</v>
      </c>
      <c r="U1" s="234" t="s">
        <v>300</v>
      </c>
      <c r="V1" s="92" t="s">
        <v>302</v>
      </c>
      <c r="W1" s="92" t="s">
        <v>297</v>
      </c>
      <c r="X1" s="92" t="s">
        <v>301</v>
      </c>
      <c r="Y1" s="92" t="s">
        <v>303</v>
      </c>
      <c r="Z1" s="87" t="s">
        <v>295</v>
      </c>
      <c r="AA1" s="71" t="s">
        <v>296</v>
      </c>
      <c r="AB1" s="71" t="s">
        <v>298</v>
      </c>
    </row>
    <row r="2" spans="1:28" ht="14.7" thickBot="1" x14ac:dyDescent="0.6">
      <c r="A2" s="21" t="s">
        <v>171</v>
      </c>
      <c r="B2" s="140">
        <f>'polarization curve'!X17*'costo idrogeno in 20 anni  (2)'!B3/10^6+'output H2 PROVA'!K13*'costo idrogeno in 20 anni  (2)'!B3/10^6</f>
        <v>0.88684992194995582</v>
      </c>
      <c r="G2" s="139">
        <f>B15+B19+B28</f>
        <v>36.661957508376922</v>
      </c>
      <c r="H2" s="40">
        <v>1</v>
      </c>
      <c r="I2" s="169">
        <f>$B$2</f>
        <v>0.88684992194995582</v>
      </c>
      <c r="J2" s="123">
        <f>$B$20+$B$29+$B$25</f>
        <v>0.22111630408493133</v>
      </c>
      <c r="K2" s="125">
        <f>$B$12</f>
        <v>0.82191173834906317</v>
      </c>
      <c r="L2" s="60"/>
      <c r="M2" s="40"/>
      <c r="N2" s="57">
        <f>'polarization curve'!$AB$17</f>
        <v>338699.89217681176</v>
      </c>
      <c r="O2" s="174">
        <f>G2+J2+K2+L2+M2+I2</f>
        <v>38.59183547276087</v>
      </c>
      <c r="P2" s="60">
        <f>N2</f>
        <v>338699.89217681176</v>
      </c>
      <c r="Q2" s="119">
        <f>((O2)*10^6)/(N2)</f>
        <v>113.94109169841349</v>
      </c>
      <c r="R2" s="164">
        <f>(I2+J2+K2)/(1+0.04)^H2</f>
        <v>1.8556518888307214</v>
      </c>
      <c r="S2" s="172">
        <f>SUM(R2:R22)</f>
        <v>27.074566640695913</v>
      </c>
      <c r="T2" s="172">
        <f>G2+M12+L22</f>
        <v>46.623860341823892</v>
      </c>
      <c r="U2" s="235">
        <f>(G2+S2+M12+L22)*10^6/P22</f>
        <v>10.361529439452774</v>
      </c>
      <c r="V2" s="172">
        <f>B15+B19+'costo idrogeno in 20 anni  (2)'!B28</f>
        <v>36.661957508376922</v>
      </c>
      <c r="W2" s="172">
        <f>(I2+J2+K2+L2+M2)/((1+0.04)^H2)</f>
        <v>1.8556518888307214</v>
      </c>
      <c r="X2" s="172">
        <f>SUM(W2:W22)</f>
        <v>32.845813957270522</v>
      </c>
      <c r="Y2" s="112">
        <f>($P$2)/(1+0.04)^H2</f>
        <v>325672.97324693436</v>
      </c>
      <c r="Z2" s="112">
        <f>SUM(Y2:Y22)</f>
        <v>4751674.9614087017</v>
      </c>
      <c r="AA2" s="202">
        <f>(X2+V2)*10^6/Z2</f>
        <v>14.628056849461116</v>
      </c>
      <c r="AB2" s="66">
        <f>(V2+X2)*10^6/(P22)</f>
        <v>9.7723499645777245</v>
      </c>
    </row>
    <row r="3" spans="1:28" ht="14.7" thickBot="1" x14ac:dyDescent="0.6">
      <c r="A3" s="16" t="s">
        <v>256</v>
      </c>
      <c r="B3" s="13">
        <v>120</v>
      </c>
      <c r="D3">
        <v>1</v>
      </c>
      <c r="E3">
        <v>2</v>
      </c>
      <c r="F3">
        <v>3</v>
      </c>
      <c r="H3" s="40">
        <v>2</v>
      </c>
      <c r="I3" s="169">
        <f t="shared" ref="I3:I22" si="0">$B$2</f>
        <v>0.88684992194995582</v>
      </c>
      <c r="J3" s="148">
        <f t="shared" ref="J3:J22" si="1">$B$20+$B$29+$B$25</f>
        <v>0.22111630408493133</v>
      </c>
      <c r="K3" s="125">
        <f t="shared" ref="K3:K22" si="2">$B$12</f>
        <v>0.82191173834906317</v>
      </c>
      <c r="L3" s="60"/>
      <c r="M3" s="40"/>
      <c r="N3" s="60">
        <f>'polarization curve'!$AB$17</f>
        <v>338699.89217681176</v>
      </c>
      <c r="O3" s="174">
        <f>O2+J3+K3+L3+M3+I3</f>
        <v>40.521713437144818</v>
      </c>
      <c r="P3" s="60">
        <f>N3+P2</f>
        <v>677399.78435362352</v>
      </c>
      <c r="Q3" s="119">
        <f>(O3*10^6)/P3</f>
        <v>59.819495625926024</v>
      </c>
      <c r="R3" s="164">
        <f t="shared" ref="R3:R22" si="3">(I3+J3+K3)/(1+0.04)^H3</f>
        <v>1.784280662337232</v>
      </c>
      <c r="S3" s="172"/>
      <c r="T3" s="172"/>
      <c r="U3" s="172"/>
      <c r="V3" s="172"/>
      <c r="W3" s="172">
        <f t="shared" ref="W3:W22" si="4">(I3+J3+K3+L3+M3)/((1+0.04)^H3)</f>
        <v>1.784280662337232</v>
      </c>
      <c r="X3" s="172"/>
      <c r="Y3" s="112">
        <f t="shared" ref="Y3:Y22" si="5">($P$2)/(1+0.04)^H3</f>
        <v>313147.0896605138</v>
      </c>
    </row>
    <row r="4" spans="1:28" x14ac:dyDescent="0.55000000000000004">
      <c r="D4" s="199">
        <f>U2</f>
        <v>10.361529439452774</v>
      </c>
      <c r="E4">
        <f>AA2</f>
        <v>14.628056849461116</v>
      </c>
      <c r="F4">
        <f>AB2</f>
        <v>9.7723499645777245</v>
      </c>
      <c r="H4" s="40">
        <v>3</v>
      </c>
      <c r="I4" s="169">
        <f t="shared" si="0"/>
        <v>0.88684992194995582</v>
      </c>
      <c r="J4" s="148">
        <f t="shared" si="1"/>
        <v>0.22111630408493133</v>
      </c>
      <c r="K4" s="125">
        <f t="shared" si="2"/>
        <v>0.82191173834906317</v>
      </c>
      <c r="L4" s="60"/>
      <c r="M4" s="40"/>
      <c r="N4" s="60">
        <f>'polarization curve'!$AB$17</f>
        <v>338699.89217681176</v>
      </c>
      <c r="O4" s="174">
        <f t="shared" ref="O4:O22" si="6">O3+J4+K4+L4+M4+I4</f>
        <v>42.451591401528766</v>
      </c>
      <c r="P4" s="60">
        <f>N4+P3</f>
        <v>1016099.6765304352</v>
      </c>
      <c r="Q4" s="119">
        <f>(O4*10^6)/P4</f>
        <v>41.77896360176355</v>
      </c>
      <c r="R4" s="164">
        <f t="shared" si="3"/>
        <v>1.7156544830165692</v>
      </c>
      <c r="S4" s="172"/>
      <c r="T4" s="172"/>
      <c r="U4" s="172"/>
      <c r="V4" s="172"/>
      <c r="W4" s="172">
        <f t="shared" si="4"/>
        <v>1.7156544830165692</v>
      </c>
      <c r="X4" s="172"/>
      <c r="Y4" s="112">
        <f t="shared" si="5"/>
        <v>301102.9708274171</v>
      </c>
    </row>
    <row r="5" spans="1:28" x14ac:dyDescent="0.55000000000000004">
      <c r="A5" t="s">
        <v>306</v>
      </c>
      <c r="B5">
        <f>'polarization curve'!X17*1000</f>
        <v>6442056.3181545585</v>
      </c>
      <c r="C5">
        <f>B5/N2</f>
        <v>19.019953849857167</v>
      </c>
      <c r="H5" s="40">
        <v>4</v>
      </c>
      <c r="I5" s="169">
        <f t="shared" si="0"/>
        <v>0.88684992194995582</v>
      </c>
      <c r="J5" s="148">
        <f t="shared" si="1"/>
        <v>0.22111630408493133</v>
      </c>
      <c r="K5" s="125">
        <f t="shared" si="2"/>
        <v>0.82191173834906317</v>
      </c>
      <c r="L5" s="60"/>
      <c r="M5" s="40"/>
      <c r="N5" s="60">
        <f>'polarization curve'!$AB$17</f>
        <v>338699.89217681176</v>
      </c>
      <c r="O5" s="174">
        <f t="shared" si="6"/>
        <v>44.381469365912714</v>
      </c>
      <c r="P5" s="60">
        <f t="shared" ref="P5:P22" si="7">N5+P4</f>
        <v>1354799.568707247</v>
      </c>
      <c r="Q5" s="119">
        <f t="shared" ref="Q5:Q21" si="8">(O5*10^6)/P5</f>
        <v>32.758697589682299</v>
      </c>
      <c r="R5" s="164">
        <f t="shared" si="3"/>
        <v>1.6496677721313164</v>
      </c>
      <c r="S5" s="172"/>
      <c r="T5" s="172"/>
      <c r="U5" s="172"/>
      <c r="V5" s="172"/>
      <c r="W5" s="172">
        <f t="shared" si="4"/>
        <v>1.6496677721313164</v>
      </c>
      <c r="X5" s="172"/>
      <c r="Y5" s="112">
        <f t="shared" si="5"/>
        <v>289522.08733405487</v>
      </c>
    </row>
    <row r="6" spans="1:28" x14ac:dyDescent="0.55000000000000004">
      <c r="H6" s="40">
        <v>5</v>
      </c>
      <c r="I6" s="169">
        <f t="shared" si="0"/>
        <v>0.88684992194995582</v>
      </c>
      <c r="J6" s="148">
        <f t="shared" si="1"/>
        <v>0.22111630408493133</v>
      </c>
      <c r="K6" s="125">
        <f t="shared" si="2"/>
        <v>0.82191173834906317</v>
      </c>
      <c r="L6" s="60"/>
      <c r="M6" s="40"/>
      <c r="N6" s="60">
        <f>'polarization curve'!$AB$17</f>
        <v>338699.89217681176</v>
      </c>
      <c r="O6" s="174">
        <f t="shared" si="6"/>
        <v>46.311347330296663</v>
      </c>
      <c r="P6" s="60">
        <f t="shared" si="7"/>
        <v>1693499.4608840588</v>
      </c>
      <c r="Q6" s="119">
        <f t="shared" si="8"/>
        <v>27.346537982433556</v>
      </c>
      <c r="R6" s="164">
        <f t="shared" si="3"/>
        <v>1.5862190116647272</v>
      </c>
      <c r="S6" s="172"/>
      <c r="T6" s="172"/>
      <c r="U6" s="172"/>
      <c r="V6" s="172"/>
      <c r="W6" s="172">
        <f t="shared" si="4"/>
        <v>1.5862190116647272</v>
      </c>
      <c r="X6" s="172"/>
      <c r="Y6" s="112">
        <f t="shared" si="5"/>
        <v>278386.62243659119</v>
      </c>
    </row>
    <row r="7" spans="1:28" x14ac:dyDescent="0.55000000000000004">
      <c r="H7" s="40">
        <v>6</v>
      </c>
      <c r="I7" s="169">
        <f t="shared" si="0"/>
        <v>0.88684992194995582</v>
      </c>
      <c r="J7" s="148">
        <f t="shared" si="1"/>
        <v>0.22111630408493133</v>
      </c>
      <c r="K7" s="125">
        <f t="shared" si="2"/>
        <v>0.82191173834906317</v>
      </c>
      <c r="L7" s="60"/>
      <c r="M7" s="40"/>
      <c r="N7" s="60">
        <f>'polarization curve'!$AB$17</f>
        <v>338699.89217681176</v>
      </c>
      <c r="O7" s="174">
        <f t="shared" si="6"/>
        <v>48.241225294680611</v>
      </c>
      <c r="P7" s="60">
        <f t="shared" si="7"/>
        <v>2032199.3530608707</v>
      </c>
      <c r="Q7" s="119">
        <f t="shared" si="8"/>
        <v>23.738431577601055</v>
      </c>
      <c r="R7" s="164">
        <f t="shared" si="3"/>
        <v>1.5252105881391607</v>
      </c>
      <c r="S7" s="172"/>
      <c r="T7" s="172"/>
      <c r="U7" s="172"/>
      <c r="V7" s="172"/>
      <c r="W7" s="172">
        <f t="shared" si="4"/>
        <v>1.5252105881391607</v>
      </c>
      <c r="X7" s="172"/>
      <c r="Y7" s="112">
        <f t="shared" si="5"/>
        <v>267679.44465056848</v>
      </c>
    </row>
    <row r="8" spans="1:28" x14ac:dyDescent="0.55000000000000004">
      <c r="H8" s="40">
        <v>7</v>
      </c>
      <c r="I8" s="169">
        <f t="shared" si="0"/>
        <v>0.88684992194995582</v>
      </c>
      <c r="J8" s="148">
        <f t="shared" si="1"/>
        <v>0.22111630408493133</v>
      </c>
      <c r="K8" s="125">
        <f t="shared" si="2"/>
        <v>0.82191173834906317</v>
      </c>
      <c r="L8" s="60"/>
      <c r="M8" s="40"/>
      <c r="N8" s="60">
        <f>'polarization curve'!$AB$17</f>
        <v>338699.89217681176</v>
      </c>
      <c r="O8" s="174">
        <f t="shared" si="6"/>
        <v>50.171103259064559</v>
      </c>
      <c r="P8" s="60">
        <f t="shared" si="7"/>
        <v>2370899.2452376825</v>
      </c>
      <c r="Q8" s="119">
        <f t="shared" si="8"/>
        <v>21.161212717006414</v>
      </c>
      <c r="R8" s="164">
        <f t="shared" si="3"/>
        <v>1.4665486424415008</v>
      </c>
      <c r="S8" s="172"/>
      <c r="T8" s="172"/>
      <c r="U8" s="172"/>
      <c r="V8" s="172"/>
      <c r="W8" s="172">
        <f t="shared" si="4"/>
        <v>1.4665486424415008</v>
      </c>
      <c r="X8" s="172"/>
      <c r="Y8" s="112">
        <f t="shared" si="5"/>
        <v>257384.0813947774</v>
      </c>
    </row>
    <row r="9" spans="1:28" x14ac:dyDescent="0.55000000000000004">
      <c r="H9" s="40">
        <v>8</v>
      </c>
      <c r="I9" s="169">
        <f t="shared" si="0"/>
        <v>0.88684992194995582</v>
      </c>
      <c r="J9" s="148">
        <f t="shared" si="1"/>
        <v>0.22111630408493133</v>
      </c>
      <c r="K9" s="125">
        <f t="shared" si="2"/>
        <v>0.82191173834906317</v>
      </c>
      <c r="L9" s="60"/>
      <c r="M9" s="40"/>
      <c r="N9" s="60">
        <f>'polarization curve'!$AB$17</f>
        <v>338699.89217681176</v>
      </c>
      <c r="O9" s="174">
        <f t="shared" si="6"/>
        <v>52.100981223448507</v>
      </c>
      <c r="P9" s="60">
        <f t="shared" si="7"/>
        <v>2709599.1374144941</v>
      </c>
      <c r="Q9" s="119">
        <f t="shared" si="8"/>
        <v>19.228298571560437</v>
      </c>
      <c r="R9" s="164">
        <f t="shared" si="3"/>
        <v>1.4101429254245199</v>
      </c>
      <c r="S9" s="172"/>
      <c r="T9" s="172"/>
      <c r="U9" s="172"/>
      <c r="V9" s="172"/>
      <c r="W9" s="172">
        <f t="shared" si="4"/>
        <v>1.4101429254245199</v>
      </c>
      <c r="X9" s="172"/>
      <c r="Y9" s="112">
        <f t="shared" si="5"/>
        <v>247484.69364882438</v>
      </c>
    </row>
    <row r="10" spans="1:28" ht="14.7" thickBot="1" x14ac:dyDescent="0.6">
      <c r="H10" s="40">
        <v>9</v>
      </c>
      <c r="I10" s="169">
        <f t="shared" si="0"/>
        <v>0.88684992194995582</v>
      </c>
      <c r="J10" s="148">
        <f t="shared" si="1"/>
        <v>0.22111630408493133</v>
      </c>
      <c r="K10" s="125">
        <f t="shared" si="2"/>
        <v>0.82191173834906317</v>
      </c>
      <c r="L10" s="60"/>
      <c r="M10" s="40"/>
      <c r="N10" s="60">
        <f>'polarization curve'!$AB$17</f>
        <v>338699.89217681176</v>
      </c>
      <c r="O10" s="174">
        <f t="shared" si="6"/>
        <v>54.030859187832455</v>
      </c>
      <c r="P10" s="60">
        <f t="shared" si="7"/>
        <v>3048299.0295913056</v>
      </c>
      <c r="Q10" s="119">
        <f t="shared" si="8"/>
        <v>17.724920902880228</v>
      </c>
      <c r="R10" s="164">
        <f t="shared" si="3"/>
        <v>1.3559066590620381</v>
      </c>
      <c r="S10" s="172"/>
      <c r="T10" s="172"/>
      <c r="U10" s="172"/>
      <c r="V10" s="172"/>
      <c r="W10" s="172">
        <f t="shared" si="4"/>
        <v>1.3559066590620381</v>
      </c>
      <c r="X10" s="172"/>
      <c r="Y10" s="112">
        <f t="shared" si="5"/>
        <v>237966.05158540804</v>
      </c>
    </row>
    <row r="11" spans="1:28" ht="14.7" thickBot="1" x14ac:dyDescent="0.6">
      <c r="A11" s="116" t="s">
        <v>90</v>
      </c>
      <c r="H11" s="40">
        <v>10</v>
      </c>
      <c r="I11" s="169">
        <f t="shared" si="0"/>
        <v>0.88684992194995582</v>
      </c>
      <c r="J11" s="148">
        <f t="shared" si="1"/>
        <v>0.22111630408493133</v>
      </c>
      <c r="K11" s="125">
        <f t="shared" si="2"/>
        <v>0.82191173834906317</v>
      </c>
      <c r="L11" s="60"/>
      <c r="M11" s="40"/>
      <c r="N11" s="60">
        <f>'polarization curve'!$AB$17</f>
        <v>338699.89217681176</v>
      </c>
      <c r="O11" s="174">
        <f>O10+J11+K11+L11+M11+I11</f>
        <v>55.960737152216403</v>
      </c>
      <c r="P11" s="60">
        <f t="shared" si="7"/>
        <v>3386998.9217681172</v>
      </c>
      <c r="Q11" s="119">
        <f t="shared" si="8"/>
        <v>16.522218767936067</v>
      </c>
      <c r="R11" s="164">
        <f t="shared" si="3"/>
        <v>1.3037564029442674</v>
      </c>
      <c r="S11" s="172"/>
      <c r="T11" s="172"/>
      <c r="U11" s="172"/>
      <c r="V11" s="172"/>
      <c r="W11" s="172">
        <f t="shared" si="4"/>
        <v>1.3037564029442674</v>
      </c>
      <c r="X11" s="172"/>
      <c r="Y11" s="112">
        <f t="shared" si="5"/>
        <v>228813.51113981541</v>
      </c>
    </row>
    <row r="12" spans="1:28" ht="14.7" thickBot="1" x14ac:dyDescent="0.6">
      <c r="A12" s="16" t="s">
        <v>91</v>
      </c>
      <c r="B12" s="139">
        <f>'output H2 PROVA'!B12*'output H2 PROVA'!B13/10^6</f>
        <v>0.82191173834906317</v>
      </c>
      <c r="H12" s="40">
        <v>11</v>
      </c>
      <c r="I12" s="169">
        <f t="shared" si="0"/>
        <v>0.88684992194995582</v>
      </c>
      <c r="J12" s="148">
        <f t="shared" si="1"/>
        <v>0.22111630408493133</v>
      </c>
      <c r="K12" s="125">
        <f t="shared" si="2"/>
        <v>0.82191173834906317</v>
      </c>
      <c r="L12" s="60"/>
      <c r="M12" s="40">
        <f>B31</f>
        <v>6.6412685556313109</v>
      </c>
      <c r="N12" s="60">
        <f>'polarization curve'!$AB$17</f>
        <v>338699.89217681176</v>
      </c>
      <c r="O12" s="174">
        <f>O11+J12+K12+L12+M12+I12</f>
        <v>64.531883672231672</v>
      </c>
      <c r="P12" s="60">
        <f t="shared" si="7"/>
        <v>3725698.8139449288</v>
      </c>
      <c r="Q12" s="119">
        <f t="shared" si="8"/>
        <v>17.320746226371035</v>
      </c>
      <c r="R12" s="164">
        <f t="shared" si="3"/>
        <v>1.2536119259079497</v>
      </c>
      <c r="S12" s="172"/>
      <c r="T12" s="172"/>
      <c r="U12" s="172"/>
      <c r="V12" s="172"/>
      <c r="W12" s="172">
        <f t="shared" si="4"/>
        <v>5.5676533410367757</v>
      </c>
      <c r="X12" s="172"/>
      <c r="Y12" s="112">
        <f t="shared" si="5"/>
        <v>220012.99148059177</v>
      </c>
    </row>
    <row r="13" spans="1:28" ht="14.7" thickBot="1" x14ac:dyDescent="0.6">
      <c r="H13" s="40">
        <v>12</v>
      </c>
      <c r="I13" s="169">
        <f t="shared" si="0"/>
        <v>0.88684992194995582</v>
      </c>
      <c r="J13" s="148">
        <f t="shared" si="1"/>
        <v>0.22111630408493133</v>
      </c>
      <c r="K13" s="125">
        <f t="shared" si="2"/>
        <v>0.82191173834906317</v>
      </c>
      <c r="L13" s="60"/>
      <c r="M13" s="40"/>
      <c r="N13" s="60">
        <f>'polarization curve'!$AB$17</f>
        <v>338699.89217681176</v>
      </c>
      <c r="O13" s="174">
        <f t="shared" si="6"/>
        <v>66.46176163661562</v>
      </c>
      <c r="P13" s="60">
        <f t="shared" si="7"/>
        <v>4064398.7061217404</v>
      </c>
      <c r="Q13" s="119">
        <f t="shared" si="8"/>
        <v>16.352175670293331</v>
      </c>
      <c r="R13" s="164">
        <f t="shared" si="3"/>
        <v>1.2053960826037975</v>
      </c>
      <c r="S13" s="172"/>
      <c r="T13" s="172"/>
      <c r="U13" s="172"/>
      <c r="V13" s="172"/>
      <c r="W13" s="172">
        <f t="shared" si="4"/>
        <v>1.2053960826037975</v>
      </c>
      <c r="X13" s="172"/>
      <c r="Y13" s="112">
        <f t="shared" si="5"/>
        <v>211550.95334672282</v>
      </c>
    </row>
    <row r="14" spans="1:28" ht="14.7" thickBot="1" x14ac:dyDescent="0.6">
      <c r="A14" s="116" t="s">
        <v>92</v>
      </c>
      <c r="H14" s="40">
        <v>13</v>
      </c>
      <c r="I14" s="169">
        <f t="shared" si="0"/>
        <v>0.88684992194995582</v>
      </c>
      <c r="J14" s="148">
        <f t="shared" si="1"/>
        <v>0.22111630408493133</v>
      </c>
      <c r="K14" s="125">
        <f t="shared" si="2"/>
        <v>0.82191173834906317</v>
      </c>
      <c r="L14" s="60"/>
      <c r="M14" s="40"/>
      <c r="N14" s="60">
        <f>'polarization curve'!$AB$17</f>
        <v>338699.89217681176</v>
      </c>
      <c r="O14" s="174">
        <f t="shared" si="6"/>
        <v>68.391639600999568</v>
      </c>
      <c r="P14" s="60">
        <f t="shared" si="7"/>
        <v>4403098.5982985524</v>
      </c>
      <c r="Q14" s="119">
        <f t="shared" si="8"/>
        <v>15.53261596899681</v>
      </c>
      <c r="R14" s="164">
        <f t="shared" si="3"/>
        <v>1.1590346948113437</v>
      </c>
      <c r="S14" s="172"/>
      <c r="T14" s="172"/>
      <c r="U14" s="172"/>
      <c r="V14" s="172"/>
      <c r="W14" s="172">
        <f t="shared" si="4"/>
        <v>1.1590346948113437</v>
      </c>
      <c r="X14" s="172"/>
      <c r="Y14" s="112">
        <f t="shared" si="5"/>
        <v>203414.3782180027</v>
      </c>
    </row>
    <row r="15" spans="1:28" x14ac:dyDescent="0.55000000000000004">
      <c r="A15" s="7" t="s">
        <v>93</v>
      </c>
      <c r="B15" s="136">
        <f>'output H2 PROVA'!B15*'output H2 PROVA'!B14</f>
        <v>0.22177999999999998</v>
      </c>
      <c r="H15" s="40">
        <v>14</v>
      </c>
      <c r="I15" s="169">
        <f t="shared" si="0"/>
        <v>0.88684992194995582</v>
      </c>
      <c r="J15" s="148">
        <f t="shared" si="1"/>
        <v>0.22111630408493133</v>
      </c>
      <c r="K15" s="125">
        <f t="shared" si="2"/>
        <v>0.82191173834906317</v>
      </c>
      <c r="L15" s="60"/>
      <c r="M15" s="40"/>
      <c r="N15" s="60">
        <f>'polarization curve'!$AB$17</f>
        <v>338699.89217681176</v>
      </c>
      <c r="O15" s="174">
        <f t="shared" si="6"/>
        <v>70.321517565383516</v>
      </c>
      <c r="P15" s="60">
        <f t="shared" si="7"/>
        <v>4741798.490475364</v>
      </c>
      <c r="Q15" s="119">
        <f t="shared" si="8"/>
        <v>14.830136225028363</v>
      </c>
      <c r="R15" s="164">
        <f t="shared" si="3"/>
        <v>1.1144564373185997</v>
      </c>
      <c r="S15" s="172"/>
      <c r="T15" s="172"/>
      <c r="U15" s="172"/>
      <c r="V15" s="172"/>
      <c r="W15" s="172">
        <f t="shared" si="4"/>
        <v>1.1144564373185997</v>
      </c>
      <c r="X15" s="172"/>
      <c r="Y15" s="112">
        <f t="shared" si="5"/>
        <v>195590.74828654106</v>
      </c>
    </row>
    <row r="16" spans="1:28" ht="14.7" thickBot="1" x14ac:dyDescent="0.6">
      <c r="A16" s="16" t="s">
        <v>94</v>
      </c>
      <c r="B16" s="16"/>
      <c r="H16" s="40">
        <v>15</v>
      </c>
      <c r="I16" s="169">
        <f t="shared" si="0"/>
        <v>0.88684992194995582</v>
      </c>
      <c r="J16" s="148">
        <f t="shared" si="1"/>
        <v>0.22111630408493133</v>
      </c>
      <c r="K16" s="125">
        <f t="shared" si="2"/>
        <v>0.82191173834906317</v>
      </c>
      <c r="L16" s="60"/>
      <c r="M16" s="40"/>
      <c r="N16" s="60">
        <f>'polarization curve'!$AB$17</f>
        <v>338699.89217681176</v>
      </c>
      <c r="O16" s="174">
        <f t="shared" si="6"/>
        <v>72.251395529767464</v>
      </c>
      <c r="P16" s="60">
        <f t="shared" si="7"/>
        <v>5080498.3826521756</v>
      </c>
      <c r="Q16" s="119">
        <f t="shared" si="8"/>
        <v>14.22132044692238</v>
      </c>
      <c r="R16" s="164">
        <f t="shared" si="3"/>
        <v>1.0715927281909612</v>
      </c>
      <c r="S16" s="172"/>
      <c r="T16" s="172"/>
      <c r="U16" s="172"/>
      <c r="V16" s="172"/>
      <c r="W16" s="172">
        <f t="shared" si="4"/>
        <v>1.0715927281909612</v>
      </c>
      <c r="X16" s="172"/>
      <c r="Y16" s="112">
        <f t="shared" si="5"/>
        <v>188068.02719859718</v>
      </c>
    </row>
    <row r="17" spans="1:26" ht="14.7" thickBot="1" x14ac:dyDescent="0.6">
      <c r="H17" s="40">
        <v>16</v>
      </c>
      <c r="I17" s="169">
        <f t="shared" si="0"/>
        <v>0.88684992194995582</v>
      </c>
      <c r="J17" s="148">
        <f t="shared" si="1"/>
        <v>0.22111630408493133</v>
      </c>
      <c r="K17" s="125">
        <f t="shared" si="2"/>
        <v>0.82191173834906317</v>
      </c>
      <c r="L17" s="60"/>
      <c r="M17" s="40"/>
      <c r="N17" s="60">
        <f>'polarization curve'!$AB$17</f>
        <v>338699.89217681176</v>
      </c>
      <c r="O17" s="174">
        <f t="shared" si="6"/>
        <v>74.181273494151412</v>
      </c>
      <c r="P17" s="60">
        <f t="shared" si="7"/>
        <v>5419198.2748289872</v>
      </c>
      <c r="Q17" s="119">
        <f t="shared" si="8"/>
        <v>13.688606641079643</v>
      </c>
      <c r="R17" s="164">
        <f t="shared" si="3"/>
        <v>1.0303776232605395</v>
      </c>
      <c r="S17" s="172"/>
      <c r="T17" s="172"/>
      <c r="U17" s="172"/>
      <c r="V17" s="172"/>
      <c r="W17" s="172">
        <f t="shared" si="4"/>
        <v>1.0303776232605395</v>
      </c>
      <c r="X17" s="172"/>
      <c r="Y17" s="112">
        <f t="shared" si="5"/>
        <v>180834.64153711265</v>
      </c>
    </row>
    <row r="18" spans="1:26" ht="14.7" thickBot="1" x14ac:dyDescent="0.6">
      <c r="A18" s="116" t="s">
        <v>96</v>
      </c>
      <c r="H18" s="40">
        <v>17</v>
      </c>
      <c r="I18" s="169">
        <f t="shared" si="0"/>
        <v>0.88684992194995582</v>
      </c>
      <c r="J18" s="148">
        <f t="shared" si="1"/>
        <v>0.22111630408493133</v>
      </c>
      <c r="K18" s="125">
        <f t="shared" si="2"/>
        <v>0.82191173834906317</v>
      </c>
      <c r="L18" s="60"/>
      <c r="M18" s="40"/>
      <c r="N18" s="60">
        <f>'polarization curve'!$AB$17</f>
        <v>338699.89217681176</v>
      </c>
      <c r="O18" s="174">
        <f t="shared" si="6"/>
        <v>76.11115145853536</v>
      </c>
      <c r="P18" s="60">
        <f t="shared" si="7"/>
        <v>5757898.1670057988</v>
      </c>
      <c r="Q18" s="119">
        <f t="shared" si="8"/>
        <v>13.21856504768899</v>
      </c>
      <c r="R18" s="164">
        <f t="shared" si="3"/>
        <v>0.99074771467359557</v>
      </c>
      <c r="S18" s="172"/>
      <c r="T18" s="172"/>
      <c r="U18" s="172"/>
      <c r="V18" s="172"/>
      <c r="W18" s="172">
        <f t="shared" si="4"/>
        <v>0.99074771467359557</v>
      </c>
      <c r="X18" s="172"/>
      <c r="Y18" s="112">
        <f t="shared" si="5"/>
        <v>173879.46301645445</v>
      </c>
    </row>
    <row r="19" spans="1:26" x14ac:dyDescent="0.55000000000000004">
      <c r="A19" s="7" t="s">
        <v>93</v>
      </c>
      <c r="B19" s="136">
        <f>'output H2 PROVA'!G16+'output H2 PROVA'!K17</f>
        <v>3.2338347302203707</v>
      </c>
      <c r="C19" t="s">
        <v>168</v>
      </c>
      <c r="H19" s="40">
        <v>18</v>
      </c>
      <c r="I19" s="169">
        <f t="shared" si="0"/>
        <v>0.88684992194995582</v>
      </c>
      <c r="J19" s="148">
        <f t="shared" si="1"/>
        <v>0.22111630408493133</v>
      </c>
      <c r="K19" s="125">
        <f t="shared" si="2"/>
        <v>0.82191173834906317</v>
      </c>
      <c r="L19" s="60"/>
      <c r="M19" s="40"/>
      <c r="N19" s="60">
        <f>'polarization curve'!$AB$17</f>
        <v>338699.89217681176</v>
      </c>
      <c r="O19" s="174">
        <f t="shared" si="6"/>
        <v>78.041029422919308</v>
      </c>
      <c r="P19" s="60">
        <f t="shared" si="7"/>
        <v>6096598.0591826104</v>
      </c>
      <c r="Q19" s="119">
        <f t="shared" si="8"/>
        <v>12.800750298008412</v>
      </c>
      <c r="R19" s="164">
        <f t="shared" si="3"/>
        <v>0.95264203333999564</v>
      </c>
      <c r="S19" s="172"/>
      <c r="T19" s="172"/>
      <c r="U19" s="172"/>
      <c r="V19" s="172"/>
      <c r="W19" s="172">
        <f t="shared" si="4"/>
        <v>0.95264203333999564</v>
      </c>
      <c r="X19" s="172"/>
      <c r="Y19" s="112">
        <f t="shared" si="5"/>
        <v>167191.79136197543</v>
      </c>
    </row>
    <row r="20" spans="1:26" ht="14.7" thickBot="1" x14ac:dyDescent="0.6">
      <c r="A20" s="16" t="s">
        <v>94</v>
      </c>
      <c r="B20" s="16">
        <f>'output H2 PROVA'!G17*'output H2 PROVA'!G15/10^6+'output H2 PROVA'!K18</f>
        <v>1.8000000000000002E-2</v>
      </c>
      <c r="C20" t="s">
        <v>97</v>
      </c>
      <c r="H20" s="40">
        <v>19</v>
      </c>
      <c r="I20" s="169">
        <f t="shared" si="0"/>
        <v>0.88684992194995582</v>
      </c>
      <c r="J20" s="148">
        <f t="shared" si="1"/>
        <v>0.22111630408493133</v>
      </c>
      <c r="K20" s="125">
        <f t="shared" si="2"/>
        <v>0.82191173834906317</v>
      </c>
      <c r="L20" s="60"/>
      <c r="M20" s="45"/>
      <c r="N20" s="60">
        <f>'polarization curve'!$AB$17</f>
        <v>338699.89217681176</v>
      </c>
      <c r="O20" s="174">
        <f t="shared" si="6"/>
        <v>79.970907387303257</v>
      </c>
      <c r="P20" s="60">
        <f t="shared" si="7"/>
        <v>6435297.9513594219</v>
      </c>
      <c r="Q20" s="119">
        <f t="shared" si="8"/>
        <v>12.426916048294212</v>
      </c>
      <c r="R20" s="164">
        <f t="shared" si="3"/>
        <v>0.91600195513461125</v>
      </c>
      <c r="S20" s="172"/>
      <c r="T20" s="172"/>
      <c r="U20" s="172"/>
      <c r="V20" s="172"/>
      <c r="W20" s="172">
        <f t="shared" si="4"/>
        <v>0.91600195513461125</v>
      </c>
      <c r="X20" s="172"/>
      <c r="Y20" s="112">
        <f t="shared" si="5"/>
        <v>160761.33784805328</v>
      </c>
    </row>
    <row r="21" spans="1:26" ht="14.7" thickBot="1" x14ac:dyDescent="0.6">
      <c r="H21" s="40">
        <v>20</v>
      </c>
      <c r="I21" s="169">
        <f t="shared" si="0"/>
        <v>0.88684992194995582</v>
      </c>
      <c r="J21" s="148">
        <f t="shared" si="1"/>
        <v>0.22111630408493133</v>
      </c>
      <c r="K21" s="125">
        <f t="shared" si="2"/>
        <v>0.82191173834906317</v>
      </c>
      <c r="L21" s="60"/>
      <c r="M21" s="40"/>
      <c r="N21" s="60">
        <f>'polarization curve'!$AB$17</f>
        <v>338699.89217681176</v>
      </c>
      <c r="O21" s="174">
        <f t="shared" si="6"/>
        <v>81.900785351687205</v>
      </c>
      <c r="P21" s="60">
        <f t="shared" si="7"/>
        <v>6773997.8435362335</v>
      </c>
      <c r="Q21" s="119">
        <f t="shared" si="8"/>
        <v>12.09046522355143</v>
      </c>
      <c r="R21" s="164">
        <f t="shared" si="3"/>
        <v>0.88077111070635694</v>
      </c>
      <c r="S21" s="172"/>
      <c r="T21" s="172"/>
      <c r="U21" s="172"/>
      <c r="V21" s="172"/>
      <c r="W21" s="172">
        <f t="shared" si="4"/>
        <v>0.88077111070635694</v>
      </c>
      <c r="X21" s="172"/>
      <c r="Y21" s="112">
        <f t="shared" si="5"/>
        <v>154578.20946928201</v>
      </c>
    </row>
    <row r="22" spans="1:26" ht="14.7" thickBot="1" x14ac:dyDescent="0.6">
      <c r="A22" s="129" t="s">
        <v>98</v>
      </c>
      <c r="B22" s="131"/>
      <c r="C22" s="131"/>
      <c r="G22" t="s">
        <v>219</v>
      </c>
      <c r="H22" s="86">
        <v>21</v>
      </c>
      <c r="I22" s="175">
        <f t="shared" si="0"/>
        <v>0.88684992194995582</v>
      </c>
      <c r="J22" s="149">
        <f t="shared" si="1"/>
        <v>0.22111630408493133</v>
      </c>
      <c r="K22" s="126">
        <f t="shared" si="2"/>
        <v>0.82191173834906317</v>
      </c>
      <c r="L22" s="176">
        <f>B30</f>
        <v>3.3206342778156555</v>
      </c>
      <c r="M22" s="86"/>
      <c r="N22" s="58">
        <f>'polarization curve'!$AB$17</f>
        <v>338699.89217681176</v>
      </c>
      <c r="O22" s="177">
        <f t="shared" si="6"/>
        <v>87.15129759388681</v>
      </c>
      <c r="P22" s="58">
        <f t="shared" si="7"/>
        <v>7112697.7357130451</v>
      </c>
      <c r="Q22" s="178">
        <f>(O22*10^6)/P22</f>
        <v>12.252917364433724</v>
      </c>
      <c r="R22" s="179">
        <f t="shared" si="3"/>
        <v>0.84689529875611225</v>
      </c>
      <c r="S22" s="173"/>
      <c r="T22" s="173"/>
      <c r="U22" s="173"/>
      <c r="V22" s="173"/>
      <c r="W22" s="172">
        <f t="shared" si="4"/>
        <v>2.3041012002019001</v>
      </c>
      <c r="X22" s="172"/>
      <c r="Y22" s="112">
        <f t="shared" si="5"/>
        <v>148632.89372046344</v>
      </c>
      <c r="Z22" s="171"/>
    </row>
    <row r="23" spans="1:26" x14ac:dyDescent="0.55000000000000004">
      <c r="A23" s="24" t="s">
        <v>185</v>
      </c>
      <c r="B23" s="133">
        <f>'output H2 PROVA'!R14</f>
        <v>2483.7992092966197</v>
      </c>
      <c r="C23" s="131"/>
    </row>
    <row r="24" spans="1:26" ht="14.7" thickBot="1" x14ac:dyDescent="0.6">
      <c r="A24" s="130" t="s">
        <v>186</v>
      </c>
      <c r="B24" s="134">
        <v>80</v>
      </c>
      <c r="C24" s="131"/>
    </row>
    <row r="25" spans="1:26" ht="14.7" thickBot="1" x14ac:dyDescent="0.6">
      <c r="A25" s="132" t="s">
        <v>187</v>
      </c>
      <c r="B25" s="135">
        <f>B23*B24/10^6</f>
        <v>0.19870393674372958</v>
      </c>
      <c r="I25" s="127" t="s">
        <v>282</v>
      </c>
      <c r="J25" s="150" t="s">
        <v>87</v>
      </c>
      <c r="K25" s="87" t="s">
        <v>197</v>
      </c>
      <c r="L25" s="87" t="s">
        <v>81</v>
      </c>
      <c r="M25" s="87" t="s">
        <v>82</v>
      </c>
      <c r="N25" s="128" t="s">
        <v>77</v>
      </c>
    </row>
    <row r="26" spans="1:26" ht="14.7" thickBot="1" x14ac:dyDescent="0.6">
      <c r="I26" s="118">
        <f>SUM(I2:I22)</f>
        <v>18.623848360949076</v>
      </c>
      <c r="J26" s="117">
        <f>SUM(J2:J22)</f>
        <v>4.6434423857835583</v>
      </c>
      <c r="K26" s="118">
        <f>SUM(K2:K22)</f>
        <v>17.260146505330329</v>
      </c>
      <c r="L26" s="118">
        <f>L22</f>
        <v>3.3206342778156555</v>
      </c>
      <c r="M26">
        <f>SUM(M2:M22)</f>
        <v>6.6412685556313109</v>
      </c>
      <c r="N26">
        <f>G2</f>
        <v>36.661957508376922</v>
      </c>
    </row>
    <row r="27" spans="1:26" ht="14.7" thickBot="1" x14ac:dyDescent="0.6">
      <c r="A27" s="116" t="s">
        <v>99</v>
      </c>
    </row>
    <row r="28" spans="1:26" x14ac:dyDescent="0.55000000000000004">
      <c r="A28" s="7" t="s">
        <v>77</v>
      </c>
      <c r="B28" s="136">
        <f>'costo electrolyser'!C5/10^6</f>
        <v>33.206342778156554</v>
      </c>
    </row>
    <row r="29" spans="1:26" x14ac:dyDescent="0.55000000000000004">
      <c r="A29" s="7" t="s">
        <v>87</v>
      </c>
      <c r="B29" s="144">
        <f>6*'polarization curve'!Z17/10^3</f>
        <v>4.412367341201753E-3</v>
      </c>
    </row>
    <row r="30" spans="1:26" x14ac:dyDescent="0.55000000000000004">
      <c r="A30" s="7" t="s">
        <v>81</v>
      </c>
      <c r="B30" s="137">
        <f>0.1*B28</f>
        <v>3.3206342778156555</v>
      </c>
    </row>
    <row r="31" spans="1:26" ht="14.7" thickBot="1" x14ac:dyDescent="0.6">
      <c r="A31" s="16" t="s">
        <v>100</v>
      </c>
      <c r="B31" s="138">
        <f>B28*0.2</f>
        <v>6.6412685556313109</v>
      </c>
    </row>
    <row r="32" spans="1:26" ht="14.7" thickBot="1" x14ac:dyDescent="0.6">
      <c r="A32" s="26" t="s">
        <v>304</v>
      </c>
      <c r="B32" s="200">
        <f>'polarization curve'!Z17*1000</f>
        <v>735.39455686695874</v>
      </c>
    </row>
    <row r="33" spans="1:5" ht="14.7" thickBot="1" x14ac:dyDescent="0.6">
      <c r="A33" s="26" t="s">
        <v>305</v>
      </c>
      <c r="B33" s="201">
        <f>B28*10^6/B32</f>
        <v>45154.458199455992</v>
      </c>
    </row>
    <row r="34" spans="1:5" x14ac:dyDescent="0.55000000000000004">
      <c r="B34" s="199"/>
    </row>
    <row r="35" spans="1:5" ht="14.7" thickBot="1" x14ac:dyDescent="0.6"/>
    <row r="36" spans="1:5" ht="14.4" customHeight="1" thickBot="1" x14ac:dyDescent="0.6">
      <c r="A36" s="336" t="s">
        <v>283</v>
      </c>
      <c r="B36" s="337"/>
      <c r="C36" s="338"/>
    </row>
    <row r="37" spans="1:5" ht="14.4" customHeight="1" x14ac:dyDescent="0.55000000000000004">
      <c r="A37" s="195" t="s">
        <v>284</v>
      </c>
      <c r="B37" s="198">
        <f>B15</f>
        <v>0.22177999999999998</v>
      </c>
      <c r="C37" s="196" t="s">
        <v>264</v>
      </c>
    </row>
    <row r="38" spans="1:5" ht="14.7" customHeight="1" x14ac:dyDescent="0.55000000000000004">
      <c r="A38" s="40" t="s">
        <v>285</v>
      </c>
      <c r="B38" s="170">
        <f>B12</f>
        <v>0.82191173834906317</v>
      </c>
      <c r="C38" s="124" t="s">
        <v>286</v>
      </c>
    </row>
    <row r="39" spans="1:5" x14ac:dyDescent="0.55000000000000004">
      <c r="A39" s="40" t="s">
        <v>287</v>
      </c>
      <c r="B39" s="170">
        <f>'output H2 PROVA'!G16</f>
        <v>2.7838347302203705</v>
      </c>
      <c r="C39" s="124" t="s">
        <v>264</v>
      </c>
    </row>
    <row r="40" spans="1:5" x14ac:dyDescent="0.55000000000000004">
      <c r="A40" s="40" t="s">
        <v>288</v>
      </c>
      <c r="B40" s="60">
        <f>'output H2 PROVA'!K17</f>
        <v>0.45</v>
      </c>
      <c r="C40" s="124" t="s">
        <v>264</v>
      </c>
    </row>
    <row r="41" spans="1:5" x14ac:dyDescent="0.55000000000000004">
      <c r="A41" s="40" t="s">
        <v>289</v>
      </c>
      <c r="B41" s="60">
        <f>B20</f>
        <v>1.8000000000000002E-2</v>
      </c>
      <c r="C41" s="124" t="s">
        <v>286</v>
      </c>
    </row>
    <row r="42" spans="1:5" x14ac:dyDescent="0.55000000000000004">
      <c r="A42" s="40" t="s">
        <v>267</v>
      </c>
      <c r="B42" s="148">
        <f>B25</f>
        <v>0.19870393674372958</v>
      </c>
      <c r="C42" s="124" t="s">
        <v>286</v>
      </c>
    </row>
    <row r="43" spans="1:5" x14ac:dyDescent="0.55000000000000004">
      <c r="A43" s="40" t="s">
        <v>290</v>
      </c>
      <c r="B43" s="170">
        <f>B28</f>
        <v>33.206342778156554</v>
      </c>
      <c r="C43" s="124" t="s">
        <v>264</v>
      </c>
      <c r="E43" t="s">
        <v>257</v>
      </c>
    </row>
    <row r="44" spans="1:5" x14ac:dyDescent="0.55000000000000004">
      <c r="A44" s="40" t="s">
        <v>291</v>
      </c>
      <c r="B44" s="148">
        <f>B29</f>
        <v>4.412367341201753E-3</v>
      </c>
      <c r="C44" s="124" t="s">
        <v>286</v>
      </c>
    </row>
    <row r="45" spans="1:5" x14ac:dyDescent="0.55000000000000004">
      <c r="A45" s="40" t="s">
        <v>292</v>
      </c>
      <c r="B45" s="170">
        <f>B30</f>
        <v>3.3206342778156555</v>
      </c>
      <c r="C45" s="124" t="s">
        <v>264</v>
      </c>
    </row>
    <row r="46" spans="1:5" x14ac:dyDescent="0.55000000000000004">
      <c r="A46" s="40" t="s">
        <v>293</v>
      </c>
      <c r="B46" s="170">
        <f>B31</f>
        <v>6.6412685556313109</v>
      </c>
      <c r="C46" s="124" t="s">
        <v>264</v>
      </c>
    </row>
    <row r="47" spans="1:5" ht="14.7" thickBot="1" x14ac:dyDescent="0.6">
      <c r="A47" s="86" t="s">
        <v>294</v>
      </c>
      <c r="B47" s="176">
        <f>B2</f>
        <v>0.88684992194995582</v>
      </c>
      <c r="C47" s="168" t="s">
        <v>286</v>
      </c>
    </row>
    <row r="48" spans="1:5" x14ac:dyDescent="0.55000000000000004">
      <c r="A48" s="45"/>
      <c r="B48" s="45"/>
      <c r="C48" s="45"/>
    </row>
    <row r="49" spans="1:3" x14ac:dyDescent="0.55000000000000004">
      <c r="A49" s="45"/>
      <c r="B49" s="45"/>
      <c r="C49" s="45"/>
    </row>
    <row r="69" spans="9:15" ht="14.7" thickBot="1" x14ac:dyDescent="0.6"/>
    <row r="70" spans="9:15" ht="14.7" thickBot="1" x14ac:dyDescent="0.6">
      <c r="I70" s="213"/>
      <c r="J70" s="210" t="s">
        <v>52</v>
      </c>
      <c r="K70" s="210" t="s">
        <v>316</v>
      </c>
      <c r="L70" s="211" t="s">
        <v>317</v>
      </c>
      <c r="M70" s="210" t="s">
        <v>325</v>
      </c>
      <c r="N70" s="210" t="s">
        <v>318</v>
      </c>
      <c r="O70" s="212" t="s">
        <v>319</v>
      </c>
    </row>
    <row r="71" spans="9:15" ht="14.7" thickBot="1" x14ac:dyDescent="0.6">
      <c r="I71" s="191" t="s">
        <v>320</v>
      </c>
      <c r="J71" s="115">
        <v>0.753</v>
      </c>
      <c r="K71" s="115">
        <v>160.06</v>
      </c>
      <c r="L71" s="192">
        <v>120</v>
      </c>
      <c r="M71" s="115">
        <v>0.48699999999999999</v>
      </c>
      <c r="N71" s="115">
        <v>8233.5300000000007</v>
      </c>
      <c r="O71" s="194" t="s">
        <v>321</v>
      </c>
    </row>
    <row r="72" spans="9:15" ht="14.7" thickBot="1" x14ac:dyDescent="0.6">
      <c r="I72" s="86" t="s">
        <v>322</v>
      </c>
      <c r="J72" s="58">
        <v>0.58899999999999997</v>
      </c>
      <c r="K72" s="58">
        <v>160.06</v>
      </c>
      <c r="L72" s="204">
        <v>94.28</v>
      </c>
      <c r="M72" s="58">
        <v>0.55300000000000005</v>
      </c>
      <c r="N72" s="58" t="s">
        <v>323</v>
      </c>
      <c r="O72" s="168" t="s">
        <v>324</v>
      </c>
    </row>
    <row r="74" spans="9:15" ht="14.7" thickBot="1" x14ac:dyDescent="0.6"/>
    <row r="75" spans="9:15" ht="27.9" thickBot="1" x14ac:dyDescent="0.6">
      <c r="I75" s="233" t="s">
        <v>326</v>
      </c>
      <c r="J75" s="218" t="s">
        <v>327</v>
      </c>
      <c r="K75" s="233" t="s">
        <v>369</v>
      </c>
      <c r="L75" s="218" t="s">
        <v>370</v>
      </c>
      <c r="M75" s="233" t="s">
        <v>371</v>
      </c>
      <c r="N75" s="219" t="s">
        <v>328</v>
      </c>
    </row>
    <row r="76" spans="9:15" x14ac:dyDescent="0.55000000000000004">
      <c r="I76" s="220" t="s">
        <v>329</v>
      </c>
      <c r="J76" s="222"/>
      <c r="K76" s="225" t="s">
        <v>330</v>
      </c>
      <c r="L76" s="230" t="s">
        <v>331</v>
      </c>
      <c r="M76" s="230" t="s">
        <v>332</v>
      </c>
      <c r="N76" s="226"/>
    </row>
    <row r="77" spans="9:15" x14ac:dyDescent="0.55000000000000004">
      <c r="I77" s="221" t="s">
        <v>333</v>
      </c>
      <c r="J77" s="223"/>
      <c r="K77" s="227" t="s">
        <v>334</v>
      </c>
      <c r="L77" s="231" t="s">
        <v>335</v>
      </c>
      <c r="M77" s="231" t="s">
        <v>336</v>
      </c>
      <c r="N77" s="228"/>
    </row>
    <row r="78" spans="9:15" x14ac:dyDescent="0.55000000000000004">
      <c r="I78" s="221" t="s">
        <v>337</v>
      </c>
      <c r="J78" s="223"/>
      <c r="K78" s="227" t="s">
        <v>338</v>
      </c>
      <c r="L78" s="231" t="s">
        <v>339</v>
      </c>
      <c r="M78" s="231" t="s">
        <v>340</v>
      </c>
      <c r="N78" s="228"/>
    </row>
    <row r="79" spans="9:15" x14ac:dyDescent="0.55000000000000004">
      <c r="I79" s="221" t="s">
        <v>341</v>
      </c>
      <c r="J79" s="223"/>
      <c r="K79" s="227" t="s">
        <v>342</v>
      </c>
      <c r="L79" s="231" t="s">
        <v>343</v>
      </c>
      <c r="M79" s="231" t="s">
        <v>344</v>
      </c>
      <c r="N79" s="228"/>
    </row>
    <row r="80" spans="9:15" x14ac:dyDescent="0.55000000000000004">
      <c r="I80" s="221" t="s">
        <v>345</v>
      </c>
      <c r="J80" s="223"/>
      <c r="K80" s="227" t="s">
        <v>346</v>
      </c>
      <c r="L80" s="231" t="s">
        <v>347</v>
      </c>
      <c r="M80" s="231" t="s">
        <v>348</v>
      </c>
      <c r="N80" s="228"/>
    </row>
    <row r="81" spans="9:14" x14ac:dyDescent="0.55000000000000004">
      <c r="I81" s="221" t="s">
        <v>349</v>
      </c>
      <c r="J81" s="223"/>
      <c r="K81" s="227" t="s">
        <v>350</v>
      </c>
      <c r="L81" s="231" t="s">
        <v>351</v>
      </c>
      <c r="M81" s="231" t="s">
        <v>352</v>
      </c>
      <c r="N81" s="228"/>
    </row>
    <row r="82" spans="9:14" x14ac:dyDescent="0.55000000000000004">
      <c r="I82" s="221" t="s">
        <v>353</v>
      </c>
      <c r="J82" s="223"/>
      <c r="K82" s="227" t="s">
        <v>354</v>
      </c>
      <c r="L82" s="231" t="s">
        <v>355</v>
      </c>
      <c r="M82" s="231" t="s">
        <v>356</v>
      </c>
      <c r="N82" s="228"/>
    </row>
    <row r="83" spans="9:14" x14ac:dyDescent="0.55000000000000004">
      <c r="I83" s="221" t="s">
        <v>357</v>
      </c>
      <c r="J83" s="223"/>
      <c r="K83" s="227" t="s">
        <v>358</v>
      </c>
      <c r="L83" s="231" t="s">
        <v>359</v>
      </c>
      <c r="M83" s="231" t="s">
        <v>360</v>
      </c>
      <c r="N83" s="228"/>
    </row>
    <row r="84" spans="9:14" x14ac:dyDescent="0.55000000000000004">
      <c r="I84" s="221" t="s">
        <v>361</v>
      </c>
      <c r="J84" s="223"/>
      <c r="K84" s="227" t="s">
        <v>362</v>
      </c>
      <c r="L84" s="231" t="s">
        <v>363</v>
      </c>
      <c r="M84" s="231" t="s">
        <v>364</v>
      </c>
      <c r="N84" s="228"/>
    </row>
    <row r="85" spans="9:14" ht="14.7" thickBot="1" x14ac:dyDescent="0.6">
      <c r="I85" s="214" t="s">
        <v>365</v>
      </c>
      <c r="J85" s="224"/>
      <c r="K85" s="229" t="s">
        <v>366</v>
      </c>
      <c r="L85" s="232" t="s">
        <v>367</v>
      </c>
      <c r="M85" s="232" t="s">
        <v>368</v>
      </c>
      <c r="N85" s="215"/>
    </row>
    <row r="88" spans="9:14" ht="14.7" thickBot="1" x14ac:dyDescent="0.6"/>
    <row r="89" spans="9:14" ht="14.7" thickBot="1" x14ac:dyDescent="0.6">
      <c r="I89" s="217"/>
      <c r="J89" s="233" t="s">
        <v>262</v>
      </c>
      <c r="K89" s="219" t="s">
        <v>372</v>
      </c>
    </row>
    <row r="90" spans="9:14" ht="16.5" thickBot="1" x14ac:dyDescent="0.6">
      <c r="I90" s="214" t="s">
        <v>369</v>
      </c>
      <c r="J90" s="216" t="s">
        <v>334</v>
      </c>
      <c r="K90" s="215"/>
    </row>
    <row r="91" spans="9:14" ht="16.5" thickBot="1" x14ac:dyDescent="0.6">
      <c r="I91" s="214" t="s">
        <v>370</v>
      </c>
      <c r="J91" s="216" t="s">
        <v>335</v>
      </c>
      <c r="K91" s="215"/>
    </row>
    <row r="92" spans="9:14" ht="16.5" thickBot="1" x14ac:dyDescent="0.6">
      <c r="I92" s="214" t="s">
        <v>371</v>
      </c>
      <c r="J92" s="216" t="s">
        <v>336</v>
      </c>
      <c r="K92" s="215"/>
    </row>
  </sheetData>
  <mergeCells count="1">
    <mergeCell ref="A36:C36"/>
  </mergeCells>
  <pageMargins left="0.7" right="0.7" top="0.75" bottom="0.75" header="0.3" footer="0.3"/>
  <pageSetup paperSize="9" orientation="portrait" verticalDpi="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03FF82527DF48BA83C7A4B15BB0EB" ma:contentTypeVersion="11" ma:contentTypeDescription="Create a new document." ma:contentTypeScope="" ma:versionID="123f40bb9c7feeab99be1eb765c44de3">
  <xsd:schema xmlns:xsd="http://www.w3.org/2001/XMLSchema" xmlns:xs="http://www.w3.org/2001/XMLSchema" xmlns:p="http://schemas.microsoft.com/office/2006/metadata/properties" xmlns:ns3="45d0aba2-3103-472f-bae8-9f8910da2108" xmlns:ns4="94c39f99-54ca-4b4f-b799-5a6739831a2a" targetNamespace="http://schemas.microsoft.com/office/2006/metadata/properties" ma:root="true" ma:fieldsID="45a45599dcd92250243400ce7d340128" ns3:_="" ns4:_="">
    <xsd:import namespace="45d0aba2-3103-472f-bae8-9f8910da2108"/>
    <xsd:import namespace="94c39f99-54ca-4b4f-b799-5a6739831a2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0aba2-3103-472f-bae8-9f8910da21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activity" ma:index="18"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4c39f99-54ca-4b4f-b799-5a6739831a2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45d0aba2-3103-472f-bae8-9f8910da2108" xsi:nil="true"/>
  </documentManagement>
</p:properties>
</file>

<file path=customXml/itemProps1.xml><?xml version="1.0" encoding="utf-8"?>
<ds:datastoreItem xmlns:ds="http://schemas.openxmlformats.org/officeDocument/2006/customXml" ds:itemID="{B7366BE9-18EE-475D-A148-75BBFA6447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0aba2-3103-472f-bae8-9f8910da2108"/>
    <ds:schemaRef ds:uri="94c39f99-54ca-4b4f-b799-5a6739831a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4B7266-03EA-430B-8781-17BAA357A7FE}">
  <ds:schemaRefs>
    <ds:schemaRef ds:uri="http://schemas.microsoft.com/sharepoint/v3/contenttype/forms"/>
  </ds:schemaRefs>
</ds:datastoreItem>
</file>

<file path=customXml/itemProps3.xml><?xml version="1.0" encoding="utf-8"?>
<ds:datastoreItem xmlns:ds="http://schemas.openxmlformats.org/officeDocument/2006/customXml" ds:itemID="{32599B7C-3005-4A42-9A1B-BA4CEFD36C68}">
  <ds:schemaRefs>
    <ds:schemaRef ds:uri="http://purl.org/dc/dcmitype/"/>
    <ds:schemaRef ds:uri="http://schemas.openxmlformats.org/package/2006/metadata/core-properties"/>
    <ds:schemaRef ds:uri="http://purl.org/dc/elements/1.1/"/>
    <ds:schemaRef ds:uri="http://schemas.microsoft.com/office/2006/documentManagement/types"/>
    <ds:schemaRef ds:uri="http://purl.org/dc/terms/"/>
    <ds:schemaRef ds:uri="http://schemas.microsoft.com/office/infopath/2007/PartnerControls"/>
    <ds:schemaRef ds:uri="http://www.w3.org/XML/1998/namespace"/>
    <ds:schemaRef ds:uri="94c39f99-54ca-4b4f-b799-5a6739831a2a"/>
    <ds:schemaRef ds:uri="45d0aba2-3103-472f-bae8-9f8910da210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output H2</vt:lpstr>
      <vt:lpstr>caratteristiche cella </vt:lpstr>
      <vt:lpstr>costo idrogeno in 30 anni</vt:lpstr>
      <vt:lpstr>produzione di energia</vt:lpstr>
      <vt:lpstr>output H2 PROVA</vt:lpstr>
      <vt:lpstr>polarization curve</vt:lpstr>
      <vt:lpstr>costo electrolyser</vt:lpstr>
      <vt:lpstr>costo idrogeno in 20 anni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raffaele</dc:creator>
  <cp:keywords/>
  <dc:description/>
  <cp:lastModifiedBy>raffaele</cp:lastModifiedBy>
  <cp:revision/>
  <dcterms:created xsi:type="dcterms:W3CDTF">2022-12-12T17:24:19Z</dcterms:created>
  <dcterms:modified xsi:type="dcterms:W3CDTF">2023-03-07T08:16:30Z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0x010100DEE03FF82527DF48BA83C7A4B15BB0EB</vt:lpwstr>
  </property>
</Properties>
</file>